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15480" windowHeight="8190" activeTab="0"/>
  </bookViews>
  <sheets>
    <sheet name="Menu" sheetId="1" r:id="rId1"/>
    <sheet name="Stadium" sheetId="2" r:id="rId2"/>
    <sheet name="A조" sheetId="3" r:id="rId3"/>
    <sheet name="B조" sheetId="4" r:id="rId4"/>
    <sheet name="C조" sheetId="5" r:id="rId5"/>
    <sheet name="D조" sheetId="6" r:id="rId6"/>
    <sheet name="E조" sheetId="7" r:id="rId7"/>
    <sheet name="F조" sheetId="8" r:id="rId8"/>
    <sheet name="G조" sheetId="9" r:id="rId9"/>
    <sheet name="H조" sheetId="10" r:id="rId10"/>
    <sheet name="16강전" sheetId="11" r:id="rId11"/>
    <sheet name="8강전" sheetId="12" r:id="rId12"/>
    <sheet name="4강전(준결승)" sheetId="13" r:id="rId13"/>
    <sheet name="결승전" sheetId="14" r:id="rId14"/>
    <sheet name="Fixture(요약)" sheetId="15" r:id="rId15"/>
    <sheet name="calculoH" sheetId="16" state="hidden" r:id="rId16"/>
    <sheet name="calculoG" sheetId="17" state="hidden" r:id="rId17"/>
    <sheet name="calculoF" sheetId="18" state="hidden" r:id="rId18"/>
    <sheet name="calculoE" sheetId="19" state="hidden" r:id="rId19"/>
    <sheet name="calculoD" sheetId="20" state="hidden" r:id="rId20"/>
    <sheet name="calculoC" sheetId="21" state="hidden" r:id="rId21"/>
    <sheet name="calculoA" sheetId="22" state="hidden" r:id="rId22"/>
    <sheet name="calculoB" sheetId="23" state="hidden" r:id="rId23"/>
  </sheets>
  <definedNames>
    <definedName name="Final">#REF!</definedName>
    <definedName name="FirstRound">#REF!</definedName>
    <definedName name="Groups">#REF!</definedName>
    <definedName name="Playoff">#REF!</definedName>
    <definedName name="QuarterFinals">#REF!</definedName>
    <definedName name="SecondRound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<sst xmlns="http://schemas.openxmlformats.org/spreadsheetml/2006/main" count="808" uniqueCount="212">
  <si>
    <t>FINAL</t>
  </si>
  <si>
    <r>
      <t>Diseñado por</t>
    </r>
    <r>
      <rPr>
        <sz val="10"/>
        <color indexed="4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</t>
    </r>
    <r>
      <rPr>
        <b/>
        <sz val="10"/>
        <color indexed="8"/>
        <rFont val="Arial"/>
        <family val="2"/>
      </rPr>
      <t>ter!</t>
    </r>
  </si>
  <si>
    <t>#Portada.A1</t>
  </si>
  <si>
    <t>-</t>
  </si>
  <si>
    <t>Munich</t>
  </si>
  <si>
    <t>Gelsenkirchen</t>
  </si>
  <si>
    <t>Dortmund</t>
  </si>
  <si>
    <t>Berlin</t>
  </si>
  <si>
    <t>G</t>
  </si>
  <si>
    <t>E</t>
  </si>
  <si>
    <t>Frankfurt</t>
  </si>
  <si>
    <t>Nuremberg</t>
  </si>
  <si>
    <t>Leipzig</t>
  </si>
  <si>
    <t>Stuttgart</t>
  </si>
  <si>
    <t>Berlín</t>
  </si>
  <si>
    <t>A</t>
  </si>
  <si>
    <t>B</t>
  </si>
  <si>
    <t>C</t>
  </si>
  <si>
    <t>D</t>
  </si>
  <si>
    <t>F</t>
  </si>
  <si>
    <t>H</t>
  </si>
  <si>
    <t>final</t>
  </si>
  <si>
    <t>F I N A L</t>
  </si>
  <si>
    <t>T y Tobago</t>
  </si>
  <si>
    <t>1A</t>
  </si>
  <si>
    <t>2B</t>
  </si>
  <si>
    <t>1B</t>
  </si>
  <si>
    <t>2A</t>
  </si>
  <si>
    <t>1E</t>
  </si>
  <si>
    <t>2F</t>
  </si>
  <si>
    <t>Final</t>
  </si>
  <si>
    <t>1F</t>
  </si>
  <si>
    <t>2E</t>
  </si>
  <si>
    <t>1C</t>
  </si>
  <si>
    <t>2D</t>
  </si>
  <si>
    <t>1D</t>
  </si>
  <si>
    <t>2C</t>
  </si>
  <si>
    <t>1G</t>
  </si>
  <si>
    <t>2H</t>
  </si>
  <si>
    <t>1H</t>
  </si>
  <si>
    <t>2G</t>
  </si>
  <si>
    <t>resultados</t>
  </si>
  <si>
    <t>no jugados</t>
  </si>
  <si>
    <t>p</t>
  </si>
  <si>
    <t>w</t>
  </si>
  <si>
    <t>d</t>
  </si>
  <si>
    <t>l</t>
  </si>
  <si>
    <t>f</t>
  </si>
  <si>
    <t>a</t>
  </si>
  <si>
    <t>tabla preliminar</t>
  </si>
  <si>
    <t>pts</t>
  </si>
  <si>
    <t>sort 1-2=====</t>
  </si>
  <si>
    <t>sort 1-3=====</t>
  </si>
  <si>
    <t>sort 1-4=====</t>
  </si>
  <si>
    <t>sort 2-3=====</t>
  </si>
  <si>
    <t>sort 2-4=====</t>
  </si>
  <si>
    <t>sort 3-4=====</t>
  </si>
  <si>
    <t>tabla definitiva</t>
  </si>
  <si>
    <t>http://atersystems.bravehost.com</t>
  </si>
  <si>
    <t>Group A</t>
  </si>
  <si>
    <t>Group B</t>
  </si>
  <si>
    <t>Group C</t>
  </si>
  <si>
    <t>Group D</t>
  </si>
  <si>
    <t>Group E</t>
  </si>
  <si>
    <t>Group F</t>
  </si>
  <si>
    <t>GERMANY</t>
  </si>
  <si>
    <r>
      <t xml:space="preserve">GERMANY 2006 - </t>
    </r>
    <r>
      <rPr>
        <sz val="36"/>
        <color indexed="47"/>
        <rFont val="굴림"/>
        <family val="3"/>
      </rPr>
      <t>예선전</t>
    </r>
  </si>
  <si>
    <r>
      <t xml:space="preserve">GROUP </t>
    </r>
    <r>
      <rPr>
        <b/>
        <sz val="22"/>
        <color indexed="47"/>
        <rFont val="Verdana"/>
        <family val="2"/>
      </rPr>
      <t>A</t>
    </r>
  </si>
  <si>
    <r>
      <t xml:space="preserve">GROUP </t>
    </r>
    <r>
      <rPr>
        <b/>
        <sz val="22"/>
        <color indexed="47"/>
        <rFont val="Arial"/>
        <family val="2"/>
      </rPr>
      <t>B</t>
    </r>
  </si>
  <si>
    <r>
      <t xml:space="preserve">GROUP </t>
    </r>
    <r>
      <rPr>
        <b/>
        <sz val="22"/>
        <color indexed="47"/>
        <rFont val="Arial"/>
        <family val="2"/>
      </rPr>
      <t>C</t>
    </r>
  </si>
  <si>
    <r>
      <t xml:space="preserve">GROUP </t>
    </r>
    <r>
      <rPr>
        <b/>
        <sz val="22"/>
        <color indexed="47"/>
        <rFont val="Arial"/>
        <family val="2"/>
      </rPr>
      <t>D</t>
    </r>
  </si>
  <si>
    <r>
      <t xml:space="preserve">GROUP </t>
    </r>
    <r>
      <rPr>
        <b/>
        <sz val="22"/>
        <color indexed="47"/>
        <rFont val="Arial"/>
        <family val="2"/>
      </rPr>
      <t>E</t>
    </r>
  </si>
  <si>
    <r>
      <t xml:space="preserve">GROUP </t>
    </r>
    <r>
      <rPr>
        <b/>
        <sz val="22"/>
        <color indexed="47"/>
        <rFont val="Arial"/>
        <family val="2"/>
      </rPr>
      <t>F</t>
    </r>
  </si>
  <si>
    <r>
      <t xml:space="preserve">GROUP </t>
    </r>
    <r>
      <rPr>
        <b/>
        <sz val="22"/>
        <color indexed="47"/>
        <rFont val="Arial"/>
        <family val="2"/>
      </rPr>
      <t>G</t>
    </r>
  </si>
  <si>
    <r>
      <t xml:space="preserve">GROUP </t>
    </r>
    <r>
      <rPr>
        <b/>
        <sz val="22"/>
        <color indexed="47"/>
        <rFont val="Arial"/>
        <family val="2"/>
      </rPr>
      <t>H</t>
    </r>
  </si>
  <si>
    <r>
      <t>GERMANY 2006 - 8</t>
    </r>
    <r>
      <rPr>
        <sz val="36"/>
        <color indexed="47"/>
        <rFont val="돋움"/>
        <family val="3"/>
      </rPr>
      <t>강전</t>
    </r>
  </si>
  <si>
    <r>
      <t>GERMANY 2006 - 4</t>
    </r>
    <r>
      <rPr>
        <sz val="36"/>
        <color indexed="47"/>
        <rFont val="돋움"/>
        <family val="3"/>
      </rPr>
      <t>강전</t>
    </r>
  </si>
  <si>
    <t>GERMANY 2006 - Final</t>
  </si>
  <si>
    <t>경기일정</t>
  </si>
  <si>
    <t>순위</t>
  </si>
  <si>
    <t>승</t>
  </si>
  <si>
    <t>무</t>
  </si>
  <si>
    <t>패</t>
  </si>
  <si>
    <t>득</t>
  </si>
  <si>
    <t>실</t>
  </si>
  <si>
    <t>차</t>
  </si>
  <si>
    <t>승점</t>
  </si>
  <si>
    <t>경기</t>
  </si>
  <si>
    <t>독일</t>
  </si>
  <si>
    <t>코스타리카</t>
  </si>
  <si>
    <t>폴란드</t>
  </si>
  <si>
    <t>에콰도르</t>
  </si>
  <si>
    <t>잉글랜드</t>
  </si>
  <si>
    <t>파라과이</t>
  </si>
  <si>
    <t>트리니다드토바고</t>
  </si>
  <si>
    <t>스웨덴</t>
  </si>
  <si>
    <t>아르헨티나</t>
  </si>
  <si>
    <t>코티드브아르</t>
  </si>
  <si>
    <t>세르비아</t>
  </si>
  <si>
    <t>멕시코</t>
  </si>
  <si>
    <t>이란</t>
  </si>
  <si>
    <t>앙골라</t>
  </si>
  <si>
    <t>포르투갈</t>
  </si>
  <si>
    <t>이탈리아</t>
  </si>
  <si>
    <t>가나</t>
  </si>
  <si>
    <t>미국</t>
  </si>
  <si>
    <t>체코</t>
  </si>
  <si>
    <t>브라질</t>
  </si>
  <si>
    <t>크로아티아</t>
  </si>
  <si>
    <t>호주</t>
  </si>
  <si>
    <t>일본</t>
  </si>
  <si>
    <t>프랑스</t>
  </si>
  <si>
    <t>스위스</t>
  </si>
  <si>
    <t>대한민국</t>
  </si>
  <si>
    <t>토고</t>
  </si>
  <si>
    <t>스페인</t>
  </si>
  <si>
    <t>우크라이나</t>
  </si>
  <si>
    <t>튀니지</t>
  </si>
  <si>
    <t>사우디아라비아</t>
  </si>
  <si>
    <t>결과</t>
  </si>
  <si>
    <t>현재시각 :</t>
  </si>
  <si>
    <t>09 June - 09 July 2006</t>
  </si>
  <si>
    <t>STADIUM - Germany 2006</t>
  </si>
  <si>
    <t>장소</t>
  </si>
  <si>
    <t>날짜</t>
  </si>
  <si>
    <t>비고</t>
  </si>
  <si>
    <r>
      <t>8</t>
    </r>
    <r>
      <rPr>
        <b/>
        <sz val="8"/>
        <color indexed="60"/>
        <rFont val="돋움"/>
        <family val="3"/>
      </rPr>
      <t>강</t>
    </r>
  </si>
  <si>
    <t>준결승전</t>
  </si>
  <si>
    <r>
      <t>3</t>
    </r>
    <r>
      <rPr>
        <b/>
        <i/>
        <sz val="12"/>
        <color indexed="52"/>
        <rFont val="돋움"/>
        <family val="3"/>
      </rPr>
      <t>위</t>
    </r>
    <r>
      <rPr>
        <b/>
        <i/>
        <sz val="12"/>
        <color indexed="52"/>
        <rFont val="Arial"/>
        <family val="2"/>
      </rPr>
      <t xml:space="preserve"> </t>
    </r>
    <r>
      <rPr>
        <b/>
        <i/>
        <sz val="12"/>
        <color indexed="52"/>
        <rFont val="돋움"/>
        <family val="3"/>
      </rPr>
      <t>결정전</t>
    </r>
  </si>
  <si>
    <r>
      <t>3</t>
    </r>
    <r>
      <rPr>
        <b/>
        <sz val="10"/>
        <color indexed="53"/>
        <rFont val="돋움"/>
        <family val="3"/>
      </rPr>
      <t>위</t>
    </r>
    <r>
      <rPr>
        <b/>
        <sz val="10"/>
        <color indexed="53"/>
        <rFont val="Arial"/>
        <family val="2"/>
      </rPr>
      <t xml:space="preserve"> </t>
    </r>
    <r>
      <rPr>
        <b/>
        <sz val="10"/>
        <color indexed="53"/>
        <rFont val="돋움"/>
        <family val="3"/>
      </rPr>
      <t>결정전</t>
    </r>
  </si>
  <si>
    <r>
      <t>3</t>
    </r>
    <r>
      <rPr>
        <b/>
        <sz val="8"/>
        <color indexed="60"/>
        <rFont val="돋움"/>
        <family val="3"/>
      </rPr>
      <t>위</t>
    </r>
  </si>
  <si>
    <t>CHAMPION</t>
  </si>
  <si>
    <t>2006 FIFA World Cup Germany</t>
  </si>
  <si>
    <t>아르헨티나</t>
  </si>
  <si>
    <t>세르비아</t>
  </si>
  <si>
    <t>코티드브아르</t>
  </si>
  <si>
    <t>멕시코</t>
  </si>
  <si>
    <t>앙골라</t>
  </si>
  <si>
    <t>포르투갈</t>
  </si>
  <si>
    <t>이란</t>
  </si>
  <si>
    <t>이탈리아</t>
  </si>
  <si>
    <t>체코</t>
  </si>
  <si>
    <t>가나</t>
  </si>
  <si>
    <t>미국</t>
  </si>
  <si>
    <t>브라질</t>
  </si>
  <si>
    <t>호주</t>
  </si>
  <si>
    <t>일본</t>
  </si>
  <si>
    <t>크로아티아</t>
  </si>
  <si>
    <t>프랑스</t>
  </si>
  <si>
    <t>대한민국</t>
  </si>
  <si>
    <t>토고</t>
  </si>
  <si>
    <t>스위스</t>
  </si>
  <si>
    <t>튀니지</t>
  </si>
  <si>
    <t>사우디아라비아</t>
  </si>
  <si>
    <t>스페인</t>
  </si>
  <si>
    <t>우크라이나</t>
  </si>
  <si>
    <r>
      <t>GERMANY 2006 - 16</t>
    </r>
    <r>
      <rPr>
        <sz val="36"/>
        <color indexed="47"/>
        <rFont val="돋움"/>
        <family val="3"/>
      </rPr>
      <t>강전</t>
    </r>
  </si>
  <si>
    <t>네덜란드</t>
  </si>
  <si>
    <t>네덜란드</t>
  </si>
  <si>
    <t>16강전</t>
  </si>
  <si>
    <t>8강전</t>
  </si>
  <si>
    <r>
      <t>4</t>
    </r>
    <r>
      <rPr>
        <b/>
        <sz val="10"/>
        <color indexed="9"/>
        <rFont val="돋움"/>
        <family val="3"/>
      </rPr>
      <t>강전</t>
    </r>
    <r>
      <rPr>
        <b/>
        <sz val="10"/>
        <color indexed="9"/>
        <rFont val="Arial"/>
        <family val="2"/>
      </rPr>
      <t>(</t>
    </r>
    <r>
      <rPr>
        <b/>
        <sz val="10"/>
        <color indexed="9"/>
        <rFont val="돋움"/>
        <family val="3"/>
      </rPr>
      <t>준결승</t>
    </r>
    <r>
      <rPr>
        <b/>
        <sz val="10"/>
        <color indexed="9"/>
        <rFont val="Arial"/>
        <family val="2"/>
      </rPr>
      <t>)</t>
    </r>
  </si>
  <si>
    <t>STADIUM</t>
  </si>
  <si>
    <t>Fixture</t>
  </si>
  <si>
    <r>
      <t>한글판</t>
    </r>
    <r>
      <rPr>
        <sz val="10"/>
        <rFont val="Arial"/>
        <family val="2"/>
      </rPr>
      <t xml:space="preserve"> : chococup@hanmail.net (</t>
    </r>
    <r>
      <rPr>
        <sz val="10"/>
        <rFont val="돋움"/>
        <family val="3"/>
      </rPr>
      <t>성우석</t>
    </r>
    <r>
      <rPr>
        <sz val="10"/>
        <rFont val="Arial"/>
        <family val="2"/>
      </rPr>
      <t>)</t>
    </r>
  </si>
  <si>
    <r>
      <t>Berlin(</t>
    </r>
    <r>
      <rPr>
        <b/>
        <sz val="10"/>
        <color indexed="22"/>
        <rFont val="돋움"/>
        <family val="3"/>
      </rPr>
      <t>베를린</t>
    </r>
    <r>
      <rPr>
        <b/>
        <sz val="10"/>
        <color indexed="22"/>
        <rFont val="Arial"/>
        <family val="2"/>
      </rPr>
      <t>)</t>
    </r>
  </si>
  <si>
    <r>
      <t>Cologne(</t>
    </r>
    <r>
      <rPr>
        <b/>
        <sz val="10"/>
        <color indexed="22"/>
        <rFont val="돋움"/>
        <family val="3"/>
      </rPr>
      <t>쾰른</t>
    </r>
    <r>
      <rPr>
        <b/>
        <sz val="10"/>
        <color indexed="22"/>
        <rFont val="Arial"/>
        <family val="2"/>
      </rPr>
      <t>)</t>
    </r>
  </si>
  <si>
    <r>
      <t>Hanover(</t>
    </r>
    <r>
      <rPr>
        <b/>
        <sz val="10"/>
        <color indexed="22"/>
        <rFont val="돋움"/>
        <family val="3"/>
      </rPr>
      <t>하노버</t>
    </r>
    <r>
      <rPr>
        <b/>
        <sz val="10"/>
        <color indexed="22"/>
        <rFont val="Arial"/>
        <family val="2"/>
      </rPr>
      <t>)</t>
    </r>
  </si>
  <si>
    <r>
      <t>Dortmund(</t>
    </r>
    <r>
      <rPr>
        <b/>
        <sz val="10"/>
        <color indexed="22"/>
        <rFont val="돋움"/>
        <family val="3"/>
      </rPr>
      <t>도르트문트</t>
    </r>
    <r>
      <rPr>
        <b/>
        <sz val="10"/>
        <color indexed="22"/>
        <rFont val="Arial"/>
        <family val="2"/>
      </rPr>
      <t>)</t>
    </r>
  </si>
  <si>
    <r>
      <t>Frankfurt am Main(</t>
    </r>
    <r>
      <rPr>
        <b/>
        <sz val="10"/>
        <color indexed="22"/>
        <rFont val="돋움"/>
        <family val="3"/>
      </rPr>
      <t>프랑크푸르트</t>
    </r>
    <r>
      <rPr>
        <b/>
        <sz val="10"/>
        <color indexed="22"/>
        <rFont val="Arial"/>
        <family val="2"/>
      </rPr>
      <t>)</t>
    </r>
  </si>
  <si>
    <r>
      <t>Kaiserslautern(</t>
    </r>
    <r>
      <rPr>
        <b/>
        <sz val="10"/>
        <color indexed="22"/>
        <rFont val="돋움"/>
        <family val="3"/>
      </rPr>
      <t>카이저슬라우테른</t>
    </r>
    <r>
      <rPr>
        <b/>
        <sz val="10"/>
        <color indexed="22"/>
        <rFont val="Arial"/>
        <family val="2"/>
      </rPr>
      <t xml:space="preserve"> )</t>
    </r>
  </si>
  <si>
    <r>
      <t>Hamburg(</t>
    </r>
    <r>
      <rPr>
        <b/>
        <sz val="10"/>
        <color indexed="22"/>
        <rFont val="돋움"/>
        <family val="3"/>
      </rPr>
      <t>함부르크</t>
    </r>
    <r>
      <rPr>
        <b/>
        <sz val="10"/>
        <color indexed="22"/>
        <rFont val="Arial"/>
        <family val="2"/>
      </rPr>
      <t>)</t>
    </r>
  </si>
  <si>
    <r>
      <t>Leipzig(</t>
    </r>
    <r>
      <rPr>
        <b/>
        <sz val="10"/>
        <color indexed="22"/>
        <rFont val="돋움"/>
        <family val="3"/>
      </rPr>
      <t>라이프치히</t>
    </r>
    <r>
      <rPr>
        <b/>
        <sz val="10"/>
        <color indexed="22"/>
        <rFont val="Arial"/>
        <family val="2"/>
      </rPr>
      <t>)</t>
    </r>
  </si>
  <si>
    <r>
      <t>Gelsenkirchen(</t>
    </r>
    <r>
      <rPr>
        <b/>
        <sz val="10"/>
        <color indexed="22"/>
        <rFont val="돋움"/>
        <family val="3"/>
      </rPr>
      <t>켈젠키르헨</t>
    </r>
    <r>
      <rPr>
        <b/>
        <sz val="10"/>
        <color indexed="22"/>
        <rFont val="Arial"/>
        <family val="2"/>
      </rPr>
      <t>)</t>
    </r>
  </si>
  <si>
    <r>
      <t>Munich(</t>
    </r>
    <r>
      <rPr>
        <b/>
        <sz val="10"/>
        <color indexed="22"/>
        <rFont val="돋움"/>
        <family val="3"/>
      </rPr>
      <t>뮌헨</t>
    </r>
    <r>
      <rPr>
        <b/>
        <sz val="10"/>
        <color indexed="22"/>
        <rFont val="Arial"/>
        <family val="2"/>
      </rPr>
      <t>)</t>
    </r>
  </si>
  <si>
    <r>
      <t>Nuremberg(</t>
    </r>
    <r>
      <rPr>
        <b/>
        <sz val="10"/>
        <color indexed="22"/>
        <rFont val="돋움"/>
        <family val="3"/>
      </rPr>
      <t>뉘른베르크</t>
    </r>
    <r>
      <rPr>
        <b/>
        <sz val="10"/>
        <color indexed="22"/>
        <rFont val="Arial"/>
        <family val="2"/>
      </rPr>
      <t>)</t>
    </r>
  </si>
  <si>
    <r>
      <t>Stuttgart(</t>
    </r>
    <r>
      <rPr>
        <b/>
        <sz val="10"/>
        <color indexed="22"/>
        <rFont val="돋움"/>
        <family val="3"/>
      </rPr>
      <t>슈투트가르트</t>
    </r>
    <r>
      <rPr>
        <b/>
        <sz val="10"/>
        <color indexed="22"/>
        <rFont val="Arial"/>
        <family val="2"/>
      </rPr>
      <t>)</t>
    </r>
  </si>
  <si>
    <t>Menu</t>
  </si>
  <si>
    <t>Munich</t>
  </si>
  <si>
    <t>Gelsenkirchen</t>
  </si>
  <si>
    <t>Dortmund</t>
  </si>
  <si>
    <t>Hamburg</t>
  </si>
  <si>
    <t>Hanover</t>
  </si>
  <si>
    <t>Cologne</t>
  </si>
  <si>
    <t>Kaiserslautern</t>
  </si>
  <si>
    <t>Kaiserslautern</t>
  </si>
  <si>
    <r>
      <t>PASS</t>
    </r>
    <r>
      <rPr>
        <sz val="8"/>
        <color indexed="60"/>
        <rFont val="Arial Narrow"/>
        <family val="2"/>
      </rPr>
      <t xml:space="preserve"> </t>
    </r>
    <r>
      <rPr>
        <b/>
        <sz val="8"/>
        <color indexed="60"/>
        <rFont val="Wingdings"/>
        <family val="0"/>
      </rPr>
      <t>Ø</t>
    </r>
  </si>
  <si>
    <t>Cologne</t>
  </si>
  <si>
    <t>Hanover</t>
  </si>
  <si>
    <t>Menu</t>
  </si>
  <si>
    <r>
      <t>모든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일정은</t>
    </r>
  </si>
  <si>
    <r>
      <t>한국시각</t>
    </r>
    <r>
      <rPr>
        <sz val="10"/>
        <rFont val="돋움"/>
        <family val="3"/>
      </rPr>
      <t>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기준으로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수정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작성하였음을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알려드립니다</t>
    </r>
    <r>
      <rPr>
        <sz val="10"/>
        <rFont val="Arial"/>
        <family val="2"/>
      </rPr>
      <t>.</t>
    </r>
  </si>
  <si>
    <t>2006. 5. 27</t>
  </si>
  <si>
    <t>한국시각</t>
  </si>
  <si>
    <r>
      <t>장소</t>
    </r>
    <r>
      <rPr>
        <b/>
        <sz val="8"/>
        <color indexed="60"/>
        <rFont val="Arial"/>
        <family val="2"/>
      </rPr>
      <t xml:space="preserve"> / </t>
    </r>
    <r>
      <rPr>
        <b/>
        <sz val="8"/>
        <color indexed="60"/>
        <rFont val="돋움"/>
        <family val="3"/>
      </rPr>
      <t>날짜</t>
    </r>
    <r>
      <rPr>
        <b/>
        <sz val="8"/>
        <color indexed="60"/>
        <rFont val="Arial"/>
        <family val="2"/>
      </rPr>
      <t xml:space="preserve">/ </t>
    </r>
    <r>
      <rPr>
        <b/>
        <sz val="8"/>
        <color indexed="60"/>
        <rFont val="돋움"/>
        <family val="3"/>
      </rPr>
      <t>한국시각</t>
    </r>
  </si>
  <si>
    <t>penalty kick</t>
  </si>
  <si>
    <r>
      <t>장소</t>
    </r>
    <r>
      <rPr>
        <b/>
        <sz val="8"/>
        <color indexed="60"/>
        <rFont val="Arial"/>
        <family val="2"/>
      </rPr>
      <t xml:space="preserve"> / </t>
    </r>
    <r>
      <rPr>
        <b/>
        <sz val="8"/>
        <color indexed="60"/>
        <rFont val="돋움"/>
        <family val="3"/>
      </rPr>
      <t>날짜</t>
    </r>
    <r>
      <rPr>
        <b/>
        <sz val="8"/>
        <color indexed="60"/>
        <rFont val="Arial"/>
        <family val="2"/>
      </rPr>
      <t xml:space="preserve">/ </t>
    </r>
    <r>
      <rPr>
        <b/>
        <sz val="8"/>
        <color indexed="60"/>
        <rFont val="돋움"/>
        <family val="3"/>
      </rPr>
      <t>힌국시각</t>
    </r>
  </si>
  <si>
    <t>결과</t>
  </si>
  <si>
    <r>
      <t xml:space="preserve">Group </t>
    </r>
    <r>
      <rPr>
        <b/>
        <sz val="10"/>
        <color indexed="8"/>
        <rFont val="Arial"/>
        <family val="2"/>
      </rPr>
      <t>A</t>
    </r>
  </si>
  <si>
    <r>
      <t xml:space="preserve">Group </t>
    </r>
    <r>
      <rPr>
        <b/>
        <sz val="10"/>
        <color indexed="8"/>
        <rFont val="Arial"/>
        <family val="2"/>
      </rPr>
      <t>B</t>
    </r>
  </si>
  <si>
    <r>
      <t xml:space="preserve">Group </t>
    </r>
    <r>
      <rPr>
        <b/>
        <sz val="10"/>
        <color indexed="8"/>
        <rFont val="Arial"/>
        <family val="2"/>
      </rPr>
      <t>C</t>
    </r>
  </si>
  <si>
    <r>
      <t xml:space="preserve">Group </t>
    </r>
    <r>
      <rPr>
        <b/>
        <sz val="10"/>
        <color indexed="8"/>
        <rFont val="Arial"/>
        <family val="2"/>
      </rPr>
      <t>D</t>
    </r>
  </si>
  <si>
    <r>
      <t xml:space="preserve">Group </t>
    </r>
    <r>
      <rPr>
        <b/>
        <sz val="10"/>
        <color indexed="8"/>
        <rFont val="Arial"/>
        <family val="2"/>
      </rPr>
      <t>E</t>
    </r>
  </si>
  <si>
    <r>
      <t xml:space="preserve">Group </t>
    </r>
    <r>
      <rPr>
        <b/>
        <sz val="10"/>
        <color indexed="8"/>
        <rFont val="Arial"/>
        <family val="2"/>
      </rPr>
      <t>F</t>
    </r>
  </si>
  <si>
    <r>
      <t xml:space="preserve">Group </t>
    </r>
    <r>
      <rPr>
        <b/>
        <sz val="10"/>
        <color indexed="8"/>
        <rFont val="Arial"/>
        <family val="2"/>
      </rPr>
      <t>G</t>
    </r>
  </si>
  <si>
    <r>
      <t xml:space="preserve">Group </t>
    </r>
    <r>
      <rPr>
        <b/>
        <sz val="10"/>
        <color indexed="8"/>
        <rFont val="Arial"/>
        <family val="2"/>
      </rPr>
      <t>H</t>
    </r>
  </si>
  <si>
    <r>
      <t>16</t>
    </r>
    <r>
      <rPr>
        <b/>
        <sz val="10"/>
        <color indexed="53"/>
        <rFont val="돋움"/>
        <family val="3"/>
      </rPr>
      <t>강전</t>
    </r>
  </si>
  <si>
    <r>
      <t>8</t>
    </r>
    <r>
      <rPr>
        <b/>
        <sz val="10"/>
        <color indexed="53"/>
        <rFont val="돋움"/>
        <family val="3"/>
      </rPr>
      <t>강전</t>
    </r>
  </si>
  <si>
    <t>4강전(준결승)</t>
  </si>
  <si>
    <t>CHAMPION</t>
  </si>
  <si>
    <t>Group G</t>
  </si>
  <si>
    <t>Group H</t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</si>
</sst>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  <numFmt numFmtId="177" formatCode="dd/mm/yy\ hh:mm"/>
    <numFmt numFmtId="178" formatCode="d&quot; de &quot;mmm"/>
    <numFmt numFmtId="179" formatCode="hh:mm:ss"/>
    <numFmt numFmtId="180" formatCode="[$-412]yyyy&quot;년&quot;\ m&quot;월&quot;\ d&quot;일&quot;\ dddd"/>
    <numFmt numFmtId="181" formatCode="[$-412]AM/PM\ h:mm:ss"/>
    <numFmt numFmtId="182" formatCode="[$-412]AM/PM\ h:mm;@"/>
    <numFmt numFmtId="183" formatCode="[$-409]h:mm\ AM/PM;@"/>
    <numFmt numFmtId="184" formatCode="m&quot;월&quot;\ d&quot;일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02">
    <font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20"/>
      <color indexed="52"/>
      <name val="Verdana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sz val="6"/>
      <color indexed="52"/>
      <name val="Arial"/>
      <family val="2"/>
    </font>
    <font>
      <sz val="10"/>
      <color indexed="52"/>
      <name val="Arial"/>
      <family val="2"/>
    </font>
    <font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28"/>
      <color indexed="22"/>
      <name val="Haettenschweiler"/>
      <family val="2"/>
    </font>
    <font>
      <sz val="36"/>
      <color indexed="47"/>
      <name val="Haettenschweiler"/>
      <family val="2"/>
    </font>
    <font>
      <i/>
      <sz val="16"/>
      <color indexed="47"/>
      <name val="Verdana"/>
      <family val="2"/>
    </font>
    <font>
      <b/>
      <sz val="10"/>
      <color indexed="60"/>
      <name val="Arial"/>
      <family val="2"/>
    </font>
    <font>
      <sz val="20"/>
      <color indexed="47"/>
      <name val="Verdana"/>
      <family val="2"/>
    </font>
    <font>
      <b/>
      <sz val="22"/>
      <color indexed="47"/>
      <name val="Verdana"/>
      <family val="2"/>
    </font>
    <font>
      <i/>
      <sz val="8"/>
      <color indexed="60"/>
      <name val="Arial"/>
      <family val="2"/>
    </font>
    <font>
      <sz val="10"/>
      <name val="Wingdings"/>
      <family val="0"/>
    </font>
    <font>
      <sz val="10"/>
      <color indexed="60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60"/>
      <name val="Arial Narrow"/>
      <family val="2"/>
    </font>
    <font>
      <b/>
      <sz val="8"/>
      <color indexed="60"/>
      <name val="Arial Narrow"/>
      <family val="2"/>
    </font>
    <font>
      <b/>
      <i/>
      <sz val="20"/>
      <color indexed="47"/>
      <name val="Arial"/>
      <family val="2"/>
    </font>
    <font>
      <b/>
      <i/>
      <sz val="20"/>
      <name val="Arial"/>
      <family val="2"/>
    </font>
    <font>
      <b/>
      <sz val="10"/>
      <color indexed="52"/>
      <name val="Arial Narrow"/>
      <family val="2"/>
    </font>
    <font>
      <b/>
      <i/>
      <sz val="24"/>
      <color indexed="47"/>
      <name val="Arial"/>
      <family val="2"/>
    </font>
    <font>
      <b/>
      <i/>
      <sz val="24"/>
      <name val="Arial"/>
      <family val="2"/>
    </font>
    <font>
      <i/>
      <sz val="7"/>
      <color indexed="60"/>
      <name val="Arial"/>
      <family val="2"/>
    </font>
    <font>
      <sz val="6"/>
      <name val="Arial Narrow"/>
      <family val="2"/>
    </font>
    <font>
      <sz val="8"/>
      <name val="Arial"/>
      <family val="2"/>
    </font>
    <font>
      <sz val="8"/>
      <color indexed="47"/>
      <name val="Arial Narrow"/>
      <family val="2"/>
    </font>
    <font>
      <sz val="8"/>
      <color indexed="60"/>
      <name val="Arial Narrow"/>
      <family val="2"/>
    </font>
    <font>
      <b/>
      <sz val="8"/>
      <color indexed="60"/>
      <name val="Wingdings"/>
      <family val="0"/>
    </font>
    <font>
      <i/>
      <sz val="8"/>
      <color indexed="10"/>
      <name val="Arial"/>
      <family val="2"/>
    </font>
    <font>
      <i/>
      <sz val="10"/>
      <name val="Arial"/>
      <family val="2"/>
    </font>
    <font>
      <i/>
      <sz val="8"/>
      <color indexed="53"/>
      <name val="Arial"/>
      <family val="2"/>
    </font>
    <font>
      <sz val="10"/>
      <color indexed="9"/>
      <name val="Arial"/>
      <family val="2"/>
    </font>
    <font>
      <sz val="10"/>
      <color indexed="47"/>
      <name val="Arial"/>
      <family val="2"/>
    </font>
    <font>
      <sz val="20"/>
      <color indexed="47"/>
      <name val="Arial"/>
      <family val="2"/>
    </font>
    <font>
      <b/>
      <sz val="22"/>
      <color indexed="47"/>
      <name val="Arial"/>
      <family val="2"/>
    </font>
    <font>
      <b/>
      <sz val="8"/>
      <color indexed="6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color indexed="52"/>
      <name val="Arial"/>
      <family val="2"/>
    </font>
    <font>
      <b/>
      <sz val="9"/>
      <color indexed="52"/>
      <name val="Arial"/>
      <family val="2"/>
    </font>
    <font>
      <sz val="7"/>
      <color indexed="16"/>
      <name val="Arial Narrow"/>
      <family val="2"/>
    </font>
    <font>
      <sz val="8"/>
      <color indexed="52"/>
      <name val="Arial"/>
      <family val="2"/>
    </font>
    <font>
      <b/>
      <sz val="9"/>
      <color indexed="60"/>
      <name val="Arial"/>
      <family val="2"/>
    </font>
    <font>
      <sz val="10"/>
      <name val="Arial Narrow"/>
      <family val="2"/>
    </font>
    <font>
      <sz val="11"/>
      <color indexed="52"/>
      <name val="Arial"/>
      <family val="2"/>
    </font>
    <font>
      <b/>
      <sz val="11"/>
      <color indexed="52"/>
      <name val="Arial"/>
      <family val="2"/>
    </font>
    <font>
      <sz val="8"/>
      <color indexed="16"/>
      <name val="Arial Narrow"/>
      <family val="2"/>
    </font>
    <font>
      <b/>
      <sz val="11"/>
      <color indexed="60"/>
      <name val="Arial"/>
      <family val="2"/>
    </font>
    <font>
      <sz val="12"/>
      <color indexed="52"/>
      <name val="Arial"/>
      <family val="2"/>
    </font>
    <font>
      <b/>
      <sz val="12"/>
      <color indexed="52"/>
      <name val="Arial"/>
      <family val="2"/>
    </font>
    <font>
      <sz val="11"/>
      <color indexed="60"/>
      <name val="Arial Narrow"/>
      <family val="2"/>
    </font>
    <font>
      <b/>
      <sz val="11"/>
      <color indexed="52"/>
      <name val="Arial Narrow"/>
      <family val="2"/>
    </font>
    <font>
      <b/>
      <sz val="12"/>
      <color indexed="60"/>
      <name val="Arial"/>
      <family val="2"/>
    </font>
    <font>
      <b/>
      <i/>
      <sz val="12"/>
      <color indexed="52"/>
      <name val="Arial"/>
      <family val="2"/>
    </font>
    <font>
      <sz val="10"/>
      <color indexed="60"/>
      <name val="Wingdings"/>
      <family val="0"/>
    </font>
    <font>
      <sz val="12"/>
      <color indexed="60"/>
      <name val="Arial"/>
      <family val="2"/>
    </font>
    <font>
      <b/>
      <sz val="12"/>
      <color indexed="16"/>
      <name val="Arial"/>
      <family val="2"/>
    </font>
    <font>
      <b/>
      <i/>
      <sz val="14"/>
      <color indexed="53"/>
      <name val="Arial"/>
      <family val="2"/>
    </font>
    <font>
      <sz val="11"/>
      <name val="Arial"/>
      <family val="2"/>
    </font>
    <font>
      <sz val="9"/>
      <color indexed="16"/>
      <name val="Arial"/>
      <family val="2"/>
    </font>
    <font>
      <sz val="12"/>
      <color indexed="60"/>
      <name val="Wingdings"/>
      <family val="0"/>
    </font>
    <font>
      <sz val="12"/>
      <color indexed="60"/>
      <name val="Arial Narrow"/>
      <family val="2"/>
    </font>
    <font>
      <b/>
      <sz val="12"/>
      <color indexed="52"/>
      <name val="Arial Narrow"/>
      <family val="2"/>
    </font>
    <font>
      <b/>
      <sz val="16"/>
      <color indexed="47"/>
      <name val="Arial"/>
      <family val="2"/>
    </font>
    <font>
      <b/>
      <sz val="12"/>
      <color indexed="60"/>
      <name val="Arial Narrow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u val="single"/>
      <sz val="10"/>
      <color indexed="36"/>
      <name val="Arial"/>
      <family val="2"/>
    </font>
    <font>
      <sz val="8"/>
      <name val="돋움"/>
      <family val="3"/>
    </font>
    <font>
      <sz val="36"/>
      <color indexed="47"/>
      <name val="돋움"/>
      <family val="3"/>
    </font>
    <font>
      <sz val="36"/>
      <color indexed="47"/>
      <name val="굴림"/>
      <family val="3"/>
    </font>
    <font>
      <b/>
      <sz val="10"/>
      <color indexed="60"/>
      <name val="돋움"/>
      <family val="3"/>
    </font>
    <font>
      <sz val="9"/>
      <color indexed="60"/>
      <name val="돋움"/>
      <family val="3"/>
    </font>
    <font>
      <b/>
      <sz val="10"/>
      <color indexed="52"/>
      <name val="돋움"/>
      <family val="3"/>
    </font>
    <font>
      <b/>
      <sz val="8"/>
      <color indexed="60"/>
      <name val="돋움"/>
      <family val="3"/>
    </font>
    <font>
      <i/>
      <sz val="10"/>
      <color indexed="53"/>
      <name val="Arial"/>
      <family val="2"/>
    </font>
    <font>
      <i/>
      <sz val="10"/>
      <color indexed="53"/>
      <name val="Arial Narrow"/>
      <family val="2"/>
    </font>
    <font>
      <i/>
      <sz val="10"/>
      <color indexed="53"/>
      <name val="새굴림"/>
      <family val="1"/>
    </font>
    <font>
      <b/>
      <sz val="10"/>
      <color indexed="9"/>
      <name val="돋움"/>
      <family val="3"/>
    </font>
    <font>
      <sz val="10"/>
      <name val="돋움"/>
      <family val="3"/>
    </font>
    <font>
      <sz val="9"/>
      <color indexed="23"/>
      <name val="굴림"/>
      <family val="3"/>
    </font>
    <font>
      <sz val="8"/>
      <color indexed="53"/>
      <name val="굴림"/>
      <family val="3"/>
    </font>
    <font>
      <b/>
      <sz val="10"/>
      <color indexed="53"/>
      <name val="돋움"/>
      <family val="3"/>
    </font>
    <font>
      <sz val="8"/>
      <color indexed="60"/>
      <name val="돋움"/>
      <family val="3"/>
    </font>
    <font>
      <b/>
      <i/>
      <sz val="12"/>
      <color indexed="52"/>
      <name val="돋움"/>
      <family val="3"/>
    </font>
    <font>
      <sz val="7"/>
      <name val="굴림"/>
      <family val="3"/>
    </font>
    <font>
      <b/>
      <sz val="10"/>
      <color indexed="22"/>
      <name val="돋움"/>
      <family val="3"/>
    </font>
    <font>
      <sz val="9"/>
      <color indexed="60"/>
      <name val="Arial Narrow"/>
      <family val="2"/>
    </font>
    <font>
      <u val="single"/>
      <sz val="10"/>
      <name val="돋움"/>
      <family val="3"/>
    </font>
    <font>
      <sz val="8"/>
      <name val="굴림"/>
      <family val="3"/>
    </font>
    <font>
      <sz val="10"/>
      <name val="굴림"/>
      <family val="3"/>
    </font>
    <font>
      <sz val="6"/>
      <name val="굴림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vertical="center"/>
      <protection/>
    </xf>
    <xf numFmtId="0" fontId="4" fillId="3" borderId="1" xfId="21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3" fillId="4" borderId="0" xfId="0" applyFont="1" applyFill="1" applyAlignment="1">
      <alignment/>
    </xf>
    <xf numFmtId="0" fontId="0" fillId="5" borderId="0" xfId="0" applyFill="1" applyAlignment="1">
      <alignment/>
    </xf>
    <xf numFmtId="0" fontId="16" fillId="6" borderId="0" xfId="0" applyFont="1" applyFill="1" applyAlignment="1">
      <alignment vertical="center"/>
    </xf>
    <xf numFmtId="0" fontId="0" fillId="6" borderId="0" xfId="0" applyFill="1" applyAlignment="1">
      <alignment/>
    </xf>
    <xf numFmtId="0" fontId="16" fillId="6" borderId="0" xfId="0" applyFont="1" applyFill="1" applyAlignment="1">
      <alignment horizontal="center" vertical="center"/>
    </xf>
    <xf numFmtId="0" fontId="0" fillId="5" borderId="2" xfId="0" applyFill="1" applyBorder="1" applyAlignment="1">
      <alignment/>
    </xf>
    <xf numFmtId="176" fontId="0" fillId="5" borderId="0" xfId="0" applyNumberFormat="1" applyFill="1" applyBorder="1" applyAlignment="1">
      <alignment horizontal="center"/>
    </xf>
    <xf numFmtId="176" fontId="0" fillId="5" borderId="0" xfId="0" applyNumberFormat="1" applyFill="1" applyAlignment="1">
      <alignment horizontal="center"/>
    </xf>
    <xf numFmtId="0" fontId="0" fillId="5" borderId="0" xfId="0" applyFill="1" applyBorder="1" applyAlignment="1">
      <alignment/>
    </xf>
    <xf numFmtId="0" fontId="21" fillId="5" borderId="0" xfId="0" applyFont="1" applyFill="1" applyAlignment="1">
      <alignment horizontal="right" vertical="center"/>
    </xf>
    <xf numFmtId="0" fontId="22" fillId="5" borderId="3" xfId="0" applyFont="1" applyFill="1" applyBorder="1" applyAlignment="1">
      <alignment horizontal="right" vertical="center"/>
    </xf>
    <xf numFmtId="0" fontId="23" fillId="5" borderId="4" xfId="0" applyFont="1" applyFill="1" applyBorder="1" applyAlignment="1" applyProtection="1">
      <alignment horizontal="center" vertical="center"/>
      <protection locked="0"/>
    </xf>
    <xf numFmtId="0" fontId="24" fillId="5" borderId="4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vertical="center"/>
    </xf>
    <xf numFmtId="16" fontId="25" fillId="5" borderId="3" xfId="0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0" fillId="5" borderId="3" xfId="0" applyFill="1" applyBorder="1" applyAlignment="1" applyProtection="1">
      <alignment/>
      <protection/>
    </xf>
    <xf numFmtId="0" fontId="30" fillId="5" borderId="0" xfId="0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0" fontId="0" fillId="5" borderId="0" xfId="0" applyFill="1" applyAlignment="1" applyProtection="1">
      <alignment/>
      <protection/>
    </xf>
    <xf numFmtId="0" fontId="0" fillId="5" borderId="0" xfId="0" applyFill="1" applyAlignment="1" applyProtection="1">
      <alignment vertical="center"/>
      <protection/>
    </xf>
    <xf numFmtId="0" fontId="0" fillId="5" borderId="2" xfId="0" applyFill="1" applyBorder="1" applyAlignment="1" applyProtection="1">
      <alignment vertical="center"/>
      <protection/>
    </xf>
    <xf numFmtId="0" fontId="0" fillId="5" borderId="0" xfId="0" applyFill="1" applyBorder="1" applyAlignment="1">
      <alignment horizontal="right"/>
    </xf>
    <xf numFmtId="0" fontId="7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32" fillId="5" borderId="0" xfId="0" applyFont="1" applyFill="1" applyBorder="1" applyAlignment="1">
      <alignment horizontal="left"/>
    </xf>
    <xf numFmtId="176" fontId="33" fillId="5" borderId="5" xfId="0" applyNumberFormat="1" applyFont="1" applyFill="1" applyBorder="1" applyAlignment="1">
      <alignment horizontal="left" vertical="top"/>
    </xf>
    <xf numFmtId="177" fontId="34" fillId="5" borderId="0" xfId="0" applyNumberFormat="1" applyFont="1" applyFill="1" applyAlignment="1">
      <alignment horizontal="center"/>
    </xf>
    <xf numFmtId="176" fontId="0" fillId="5" borderId="2" xfId="0" applyNumberFormat="1" applyFill="1" applyBorder="1" applyAlignment="1">
      <alignment horizontal="center"/>
    </xf>
    <xf numFmtId="176" fontId="0" fillId="5" borderId="6" xfId="0" applyNumberFormat="1" applyFill="1" applyBorder="1" applyAlignment="1">
      <alignment horizontal="center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29" fillId="5" borderId="5" xfId="0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Alignment="1">
      <alignment/>
    </xf>
    <xf numFmtId="0" fontId="35" fillId="5" borderId="0" xfId="0" applyFont="1" applyFill="1" applyAlignment="1">
      <alignment horizontal="right" vertical="center"/>
    </xf>
    <xf numFmtId="0" fontId="25" fillId="5" borderId="3" xfId="0" applyFont="1" applyFill="1" applyBorder="1" applyAlignment="1">
      <alignment vertical="center"/>
    </xf>
    <xf numFmtId="0" fontId="38" fillId="5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2" xfId="0" applyFont="1" applyFill="1" applyBorder="1" applyAlignment="1">
      <alignment vertical="center"/>
    </xf>
    <xf numFmtId="0" fontId="0" fillId="5" borderId="0" xfId="0" applyFont="1" applyFill="1" applyAlignment="1">
      <alignment/>
    </xf>
    <xf numFmtId="0" fontId="0" fillId="5" borderId="2" xfId="0" applyFont="1" applyFill="1" applyBorder="1" applyAlignment="1">
      <alignment/>
    </xf>
    <xf numFmtId="0" fontId="0" fillId="5" borderId="7" xfId="0" applyFill="1" applyBorder="1" applyAlignment="1">
      <alignment/>
    </xf>
    <xf numFmtId="0" fontId="20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39" fillId="5" borderId="0" xfId="0" applyFont="1" applyFill="1" applyAlignment="1">
      <alignment/>
    </xf>
    <xf numFmtId="0" fontId="41" fillId="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1" fillId="0" borderId="0" xfId="0" applyFont="1" applyFill="1" applyAlignment="1">
      <alignment/>
    </xf>
    <xf numFmtId="179" fontId="42" fillId="0" borderId="0" xfId="0" applyNumberFormat="1" applyFont="1" applyFill="1" applyAlignment="1">
      <alignment/>
    </xf>
    <xf numFmtId="0" fontId="29" fillId="5" borderId="2" xfId="0" applyFont="1" applyFill="1" applyBorder="1" applyAlignment="1" applyProtection="1">
      <alignment horizontal="center" vertical="center"/>
      <protection locked="0"/>
    </xf>
    <xf numFmtId="0" fontId="42" fillId="5" borderId="0" xfId="0" applyFont="1" applyFill="1" applyAlignment="1">
      <alignment/>
    </xf>
    <xf numFmtId="179" fontId="42" fillId="5" borderId="0" xfId="0" applyNumberFormat="1" applyFont="1" applyFill="1" applyAlignment="1">
      <alignment/>
    </xf>
    <xf numFmtId="0" fontId="28" fillId="5" borderId="0" xfId="0" applyFont="1" applyFill="1" applyAlignment="1" applyProtection="1">
      <alignment horizontal="center"/>
      <protection/>
    </xf>
    <xf numFmtId="0" fontId="31" fillId="5" borderId="0" xfId="0" applyFont="1" applyFill="1" applyAlignment="1" applyProtection="1">
      <alignment horizontal="center"/>
      <protection/>
    </xf>
    <xf numFmtId="0" fontId="15" fillId="6" borderId="0" xfId="0" applyFont="1" applyFill="1" applyAlignment="1">
      <alignment vertical="center"/>
    </xf>
    <xf numFmtId="0" fontId="16" fillId="6" borderId="0" xfId="0" applyFont="1" applyFill="1" applyAlignment="1" applyProtection="1">
      <alignment horizontal="center" vertical="center"/>
      <protection/>
    </xf>
    <xf numFmtId="0" fontId="0" fillId="6" borderId="0" xfId="0" applyFill="1" applyAlignment="1" applyProtection="1">
      <alignment vertical="center"/>
      <protection/>
    </xf>
    <xf numFmtId="0" fontId="0" fillId="6" borderId="0" xfId="0" applyFill="1" applyAlignment="1">
      <alignment vertical="center"/>
    </xf>
    <xf numFmtId="0" fontId="0" fillId="5" borderId="0" xfId="0" applyFill="1" applyBorder="1" applyAlignment="1" applyProtection="1">
      <alignment vertical="center"/>
      <protection/>
    </xf>
    <xf numFmtId="0" fontId="0" fillId="5" borderId="6" xfId="0" applyFill="1" applyBorder="1" applyAlignment="1" applyProtection="1">
      <alignment vertical="center"/>
      <protection/>
    </xf>
    <xf numFmtId="0" fontId="0" fillId="5" borderId="8" xfId="0" applyFill="1" applyBorder="1" applyAlignment="1" applyProtection="1">
      <alignment vertical="center"/>
      <protection/>
    </xf>
    <xf numFmtId="0" fontId="0" fillId="5" borderId="9" xfId="0" applyFill="1" applyBorder="1" applyAlignment="1" applyProtection="1">
      <alignment vertical="center"/>
      <protection/>
    </xf>
    <xf numFmtId="176" fontId="40" fillId="5" borderId="0" xfId="0" applyNumberFormat="1" applyFont="1" applyFill="1" applyBorder="1" applyAlignment="1" applyProtection="1">
      <alignment horizontal="center"/>
      <protection/>
    </xf>
    <xf numFmtId="0" fontId="23" fillId="5" borderId="0" xfId="21" applyNumberFormat="1" applyFont="1" applyFill="1" applyBorder="1" applyAlignment="1" applyProtection="1">
      <alignment vertical="center"/>
      <protection/>
    </xf>
    <xf numFmtId="0" fontId="45" fillId="7" borderId="10" xfId="0" applyFont="1" applyFill="1" applyBorder="1" applyAlignment="1" applyProtection="1">
      <alignment horizontal="center"/>
      <protection/>
    </xf>
    <xf numFmtId="0" fontId="46" fillId="7" borderId="10" xfId="0" applyFont="1" applyFill="1" applyBorder="1" applyAlignment="1" applyProtection="1">
      <alignment/>
      <protection/>
    </xf>
    <xf numFmtId="0" fontId="8" fillId="5" borderId="0" xfId="0" applyFont="1" applyFill="1" applyAlignment="1" applyProtection="1">
      <alignment/>
      <protection/>
    </xf>
    <xf numFmtId="0" fontId="47" fillId="5" borderId="0" xfId="0" applyFont="1" applyFill="1" applyAlignment="1" applyProtection="1">
      <alignment horizontal="right" vertical="center"/>
      <protection/>
    </xf>
    <xf numFmtId="0" fontId="34" fillId="5" borderId="0" xfId="0" applyFont="1" applyFill="1" applyAlignment="1" applyProtection="1">
      <alignment vertical="center"/>
      <protection/>
    </xf>
    <xf numFmtId="0" fontId="48" fillId="5" borderId="4" xfId="0" applyFont="1" applyFill="1" applyBorder="1" applyAlignment="1" applyProtection="1">
      <alignment horizontal="right" vertical="center"/>
      <protection/>
    </xf>
    <xf numFmtId="0" fontId="49" fillId="5" borderId="4" xfId="0" applyFont="1" applyFill="1" applyBorder="1" applyAlignment="1" applyProtection="1">
      <alignment horizontal="center" vertical="center"/>
      <protection locked="0"/>
    </xf>
    <xf numFmtId="0" fontId="50" fillId="5" borderId="9" xfId="0" applyFont="1" applyFill="1" applyBorder="1" applyAlignment="1" applyProtection="1">
      <alignment horizontal="center" vertical="center"/>
      <protection locked="0"/>
    </xf>
    <xf numFmtId="0" fontId="34" fillId="5" borderId="9" xfId="0" applyFont="1" applyFill="1" applyBorder="1" applyAlignment="1" applyProtection="1">
      <alignment vertical="center"/>
      <protection/>
    </xf>
    <xf numFmtId="0" fontId="36" fillId="5" borderId="0" xfId="0" applyFont="1" applyFill="1" applyAlignment="1" applyProtection="1">
      <alignment horizontal="right" vertical="center"/>
      <protection/>
    </xf>
    <xf numFmtId="0" fontId="36" fillId="5" borderId="0" xfId="0" applyFont="1" applyFill="1" applyAlignment="1" applyProtection="1">
      <alignment horizontal="center" vertical="center"/>
      <protection/>
    </xf>
    <xf numFmtId="16" fontId="36" fillId="5" borderId="0" xfId="0" applyNumberFormat="1" applyFont="1" applyFill="1" applyAlignment="1" applyProtection="1">
      <alignment horizontal="right" vertical="center"/>
      <protection/>
    </xf>
    <xf numFmtId="176" fontId="36" fillId="5" borderId="0" xfId="0" applyNumberFormat="1" applyFont="1" applyFill="1" applyAlignment="1" applyProtection="1">
      <alignment horizontal="center" vertical="center"/>
      <protection/>
    </xf>
    <xf numFmtId="0" fontId="26" fillId="5" borderId="0" xfId="0" applyFont="1" applyFill="1" applyAlignment="1" applyProtection="1">
      <alignment vertical="center"/>
      <protection/>
    </xf>
    <xf numFmtId="0" fontId="51" fillId="5" borderId="0" xfId="0" applyFont="1" applyFill="1" applyAlignment="1" applyProtection="1">
      <alignment vertical="center"/>
      <protection/>
    </xf>
    <xf numFmtId="0" fontId="34" fillId="5" borderId="3" xfId="0" applyFont="1" applyFill="1" applyBorder="1" applyAlignment="1" applyProtection="1">
      <alignment vertical="center"/>
      <protection/>
    </xf>
    <xf numFmtId="0" fontId="34" fillId="5" borderId="11" xfId="0" applyFont="1" applyFill="1" applyBorder="1" applyAlignment="1" applyProtection="1">
      <alignment vertical="center"/>
      <protection/>
    </xf>
    <xf numFmtId="0" fontId="34" fillId="5" borderId="0" xfId="0" applyFont="1" applyFill="1" applyBorder="1" applyAlignment="1" applyProtection="1">
      <alignment vertical="center"/>
      <protection/>
    </xf>
    <xf numFmtId="0" fontId="52" fillId="5" borderId="4" xfId="0" applyFont="1" applyFill="1" applyBorder="1" applyAlignment="1" applyProtection="1">
      <alignment vertical="center"/>
      <protection/>
    </xf>
    <xf numFmtId="0" fontId="50" fillId="5" borderId="5" xfId="0" applyFont="1" applyFill="1" applyBorder="1" applyAlignment="1" applyProtection="1">
      <alignment horizontal="center" vertical="center"/>
      <protection locked="0"/>
    </xf>
    <xf numFmtId="0" fontId="34" fillId="5" borderId="10" xfId="0" applyFont="1" applyFill="1" applyBorder="1" applyAlignment="1" applyProtection="1">
      <alignment vertical="center"/>
      <protection/>
    </xf>
    <xf numFmtId="0" fontId="42" fillId="0" borderId="0" xfId="0" applyFont="1" applyFill="1" applyAlignment="1" applyProtection="1">
      <alignment/>
      <protection/>
    </xf>
    <xf numFmtId="179" fontId="42" fillId="0" borderId="0" xfId="0" applyNumberFormat="1" applyFont="1" applyFill="1" applyAlignment="1" applyProtection="1">
      <alignment/>
      <protection/>
    </xf>
    <xf numFmtId="0" fontId="0" fillId="5" borderId="0" xfId="0" applyFill="1" applyAlignment="1" applyProtection="1">
      <alignment horizontal="center" vertical="center"/>
      <protection/>
    </xf>
    <xf numFmtId="0" fontId="53" fillId="5" borderId="0" xfId="0" applyFont="1" applyFill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54" fillId="5" borderId="4" xfId="0" applyFont="1" applyFill="1" applyBorder="1" applyAlignment="1" applyProtection="1">
      <alignment horizontal="right" vertical="center"/>
      <protection/>
    </xf>
    <xf numFmtId="0" fontId="55" fillId="5" borderId="4" xfId="0" applyFont="1" applyFill="1" applyBorder="1" applyAlignment="1" applyProtection="1">
      <alignment horizontal="center" vertical="center"/>
      <protection locked="0"/>
    </xf>
    <xf numFmtId="0" fontId="56" fillId="5" borderId="9" xfId="0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Alignment="1" applyProtection="1">
      <alignment horizontal="right" vertical="center"/>
      <protection/>
    </xf>
    <xf numFmtId="0" fontId="25" fillId="5" borderId="0" xfId="0" applyFont="1" applyFill="1" applyAlignment="1" applyProtection="1">
      <alignment horizontal="center" vertical="center"/>
      <protection/>
    </xf>
    <xf numFmtId="176" fontId="25" fillId="5" borderId="0" xfId="0" applyNumberFormat="1" applyFont="1" applyFill="1" applyAlignment="1" applyProtection="1">
      <alignment horizontal="center" vertical="center"/>
      <protection/>
    </xf>
    <xf numFmtId="0" fontId="29" fillId="5" borderId="0" xfId="0" applyFont="1" applyFill="1" applyAlignment="1" applyProtection="1">
      <alignment vertical="center"/>
      <protection/>
    </xf>
    <xf numFmtId="0" fontId="54" fillId="5" borderId="0" xfId="0" applyFont="1" applyFill="1" applyAlignment="1" applyProtection="1">
      <alignment vertical="center"/>
      <protection/>
    </xf>
    <xf numFmtId="0" fontId="57" fillId="5" borderId="4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center" vertical="center"/>
      <protection/>
    </xf>
    <xf numFmtId="0" fontId="56" fillId="5" borderId="5" xfId="0" applyFont="1" applyFill="1" applyBorder="1" applyAlignment="1" applyProtection="1">
      <alignment horizontal="center" vertical="center"/>
      <protection locked="0"/>
    </xf>
    <xf numFmtId="0" fontId="51" fillId="5" borderId="0" xfId="0" applyFont="1" applyFill="1" applyAlignment="1" applyProtection="1">
      <alignment vertical="center"/>
      <protection/>
    </xf>
    <xf numFmtId="176" fontId="40" fillId="5" borderId="0" xfId="0" applyNumberFormat="1" applyFont="1" applyFill="1" applyBorder="1" applyAlignment="1" applyProtection="1">
      <alignment horizontal="center" vertical="top"/>
      <protection/>
    </xf>
    <xf numFmtId="0" fontId="8" fillId="5" borderId="0" xfId="0" applyFont="1" applyFill="1" applyAlignment="1" applyProtection="1">
      <alignment vertical="top"/>
      <protection/>
    </xf>
    <xf numFmtId="0" fontId="58" fillId="5" borderId="4" xfId="0" applyFont="1" applyFill="1" applyBorder="1" applyAlignment="1" applyProtection="1">
      <alignment horizontal="right" vertical="center"/>
      <protection/>
    </xf>
    <xf numFmtId="0" fontId="59" fillId="5" borderId="4" xfId="0" applyFont="1" applyFill="1" applyBorder="1" applyAlignment="1" applyProtection="1">
      <alignment horizontal="center" vertical="center"/>
      <protection locked="0"/>
    </xf>
    <xf numFmtId="0" fontId="60" fillId="5" borderId="0" xfId="0" applyFont="1" applyFill="1" applyAlignment="1" applyProtection="1">
      <alignment horizontal="center" vertical="center"/>
      <protection/>
    </xf>
    <xf numFmtId="176" fontId="60" fillId="5" borderId="0" xfId="0" applyNumberFormat="1" applyFont="1" applyFill="1" applyAlignment="1" applyProtection="1">
      <alignment horizontal="center" vertical="center"/>
      <protection/>
    </xf>
    <xf numFmtId="0" fontId="61" fillId="5" borderId="0" xfId="0" applyFont="1" applyFill="1" applyAlignment="1" applyProtection="1">
      <alignment vertical="center"/>
      <protection/>
    </xf>
    <xf numFmtId="0" fontId="62" fillId="5" borderId="4" xfId="0" applyFont="1" applyFill="1" applyBorder="1" applyAlignment="1" applyProtection="1">
      <alignment vertical="center"/>
      <protection/>
    </xf>
    <xf numFmtId="0" fontId="0" fillId="5" borderId="12" xfId="0" applyFill="1" applyBorder="1" applyAlignment="1" applyProtection="1">
      <alignment vertical="center"/>
      <protection/>
    </xf>
    <xf numFmtId="0" fontId="63" fillId="5" borderId="0" xfId="0" applyFont="1" applyFill="1" applyAlignment="1" applyProtection="1">
      <alignment horizontal="right" vertical="center"/>
      <protection/>
    </xf>
    <xf numFmtId="0" fontId="63" fillId="5" borderId="8" xfId="0" applyFont="1" applyFill="1" applyBorder="1" applyAlignment="1" applyProtection="1">
      <alignment horizontal="left" vertical="center"/>
      <protection/>
    </xf>
    <xf numFmtId="0" fontId="8" fillId="5" borderId="0" xfId="0" applyFont="1" applyFill="1" applyAlignment="1" applyProtection="1">
      <alignment vertical="center"/>
      <protection/>
    </xf>
    <xf numFmtId="0" fontId="0" fillId="7" borderId="10" xfId="0" applyFont="1" applyFill="1" applyBorder="1" applyAlignment="1" applyProtection="1">
      <alignment/>
      <protection/>
    </xf>
    <xf numFmtId="0" fontId="53" fillId="5" borderId="12" xfId="0" applyFont="1" applyFill="1" applyBorder="1" applyAlignment="1" applyProtection="1">
      <alignment horizontal="right" vertical="center"/>
      <protection/>
    </xf>
    <xf numFmtId="0" fontId="64" fillId="5" borderId="12" xfId="0" applyFont="1" applyFill="1" applyBorder="1" applyAlignment="1" applyProtection="1">
      <alignment horizontal="right" vertical="center"/>
      <protection/>
    </xf>
    <xf numFmtId="0" fontId="57" fillId="5" borderId="0" xfId="0" applyFont="1" applyFill="1" applyBorder="1" applyAlignment="1" applyProtection="1">
      <alignment vertical="center"/>
      <protection/>
    </xf>
    <xf numFmtId="0" fontId="65" fillId="5" borderId="0" xfId="0" applyFont="1" applyFill="1" applyBorder="1" applyAlignment="1" applyProtection="1">
      <alignment horizontal="right" vertical="center"/>
      <protection/>
    </xf>
    <xf numFmtId="0" fontId="66" fillId="5" borderId="0" xfId="0" applyFont="1" applyFill="1" applyBorder="1" applyAlignment="1" applyProtection="1">
      <alignment horizontal="center" vertical="center"/>
      <protection/>
    </xf>
    <xf numFmtId="0" fontId="56" fillId="5" borderId="0" xfId="0" applyFont="1" applyFill="1" applyBorder="1" applyAlignment="1" applyProtection="1">
      <alignment horizontal="center" vertical="center"/>
      <protection/>
    </xf>
    <xf numFmtId="0" fontId="53" fillId="5" borderId="6" xfId="0" applyFont="1" applyFill="1" applyBorder="1" applyAlignment="1" applyProtection="1">
      <alignment horizontal="right" vertical="center"/>
      <protection/>
    </xf>
    <xf numFmtId="0" fontId="67" fillId="5" borderId="8" xfId="0" applyFont="1" applyFill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6" fillId="7" borderId="10" xfId="0" applyFont="1" applyFill="1" applyBorder="1" applyAlignment="1" applyProtection="1">
      <alignment vertical="center"/>
      <protection/>
    </xf>
    <xf numFmtId="0" fontId="45" fillId="7" borderId="10" xfId="0" applyFont="1" applyFill="1" applyBorder="1" applyAlignment="1" applyProtection="1">
      <alignment horizontal="center" vertical="center"/>
      <protection/>
    </xf>
    <xf numFmtId="0" fontId="68" fillId="5" borderId="0" xfId="0" applyFont="1" applyFill="1" applyAlignment="1" applyProtection="1">
      <alignment vertical="center"/>
      <protection/>
    </xf>
    <xf numFmtId="0" fontId="59" fillId="5" borderId="4" xfId="0" applyFont="1" applyFill="1" applyBorder="1" applyAlignment="1" applyProtection="1">
      <alignment horizontal="right" vertical="center"/>
      <protection/>
    </xf>
    <xf numFmtId="0" fontId="69" fillId="5" borderId="0" xfId="0" applyFont="1" applyFill="1" applyBorder="1" applyAlignment="1" applyProtection="1">
      <alignment horizontal="center" vertical="center"/>
      <protection locked="0"/>
    </xf>
    <xf numFmtId="0" fontId="70" fillId="5" borderId="0" xfId="0" applyFont="1" applyFill="1" applyBorder="1" applyAlignment="1" applyProtection="1">
      <alignment horizontal="right" vertical="center"/>
      <protection/>
    </xf>
    <xf numFmtId="0" fontId="71" fillId="5" borderId="0" xfId="0" applyFont="1" applyFill="1" applyAlignment="1" applyProtection="1">
      <alignment horizontal="right" vertical="center"/>
      <protection/>
    </xf>
    <xf numFmtId="176" fontId="71" fillId="5" borderId="0" xfId="0" applyNumberFormat="1" applyFont="1" applyFill="1" applyAlignment="1" applyProtection="1">
      <alignment horizontal="center" vertical="center"/>
      <protection/>
    </xf>
    <xf numFmtId="0" fontId="72" fillId="5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34" fillId="0" borderId="13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16" xfId="0" applyFont="1" applyBorder="1" applyAlignment="1">
      <alignment vertical="center"/>
    </xf>
    <xf numFmtId="0" fontId="34" fillId="0" borderId="0" xfId="0" applyFont="1" applyAlignment="1" applyProtection="1">
      <alignment horizontal="center" vertical="center"/>
      <protection/>
    </xf>
    <xf numFmtId="0" fontId="34" fillId="0" borderId="17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2" fillId="5" borderId="0" xfId="0" applyFont="1" applyFill="1" applyAlignment="1">
      <alignment horizontal="right"/>
    </xf>
    <xf numFmtId="0" fontId="84" fillId="7" borderId="10" xfId="0" applyFont="1" applyFill="1" applyBorder="1" applyAlignment="1" applyProtection="1">
      <alignment horizontal="center"/>
      <protection/>
    </xf>
    <xf numFmtId="184" fontId="86" fillId="5" borderId="18" xfId="0" applyNumberFormat="1" applyFont="1" applyFill="1" applyBorder="1" applyAlignment="1">
      <alignment horizontal="right"/>
    </xf>
    <xf numFmtId="176" fontId="85" fillId="5" borderId="18" xfId="0" applyNumberFormat="1" applyFont="1" applyFill="1" applyBorder="1" applyAlignment="1">
      <alignment horizontal="center"/>
    </xf>
    <xf numFmtId="0" fontId="87" fillId="5" borderId="0" xfId="0" applyFont="1" applyFill="1" applyAlignment="1">
      <alignment horizontal="right"/>
    </xf>
    <xf numFmtId="0" fontId="89" fillId="2" borderId="0" xfId="0" applyFont="1" applyFill="1" applyAlignment="1" applyProtection="1">
      <alignment/>
      <protection/>
    </xf>
    <xf numFmtId="0" fontId="90" fillId="0" borderId="0" xfId="0" applyFont="1" applyAlignment="1">
      <alignment/>
    </xf>
    <xf numFmtId="184" fontId="91" fillId="5" borderId="0" xfId="0" applyNumberFormat="1" applyFont="1" applyFill="1" applyBorder="1" applyAlignment="1" applyProtection="1">
      <alignment horizontal="right"/>
      <protection/>
    </xf>
    <xf numFmtId="0" fontId="93" fillId="5" borderId="0" xfId="0" applyFont="1" applyFill="1" applyBorder="1" applyAlignment="1">
      <alignment horizont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right" vertical="center"/>
    </xf>
    <xf numFmtId="0" fontId="4" fillId="0" borderId="19" xfId="21" applyNumberFormat="1" applyFont="1" applyFill="1" applyBorder="1" applyAlignment="1" applyProtection="1">
      <alignment horizontal="center" vertical="center"/>
      <protection/>
    </xf>
    <xf numFmtId="184" fontId="36" fillId="5" borderId="0" xfId="0" applyNumberFormat="1" applyFont="1" applyFill="1" applyAlignment="1" applyProtection="1">
      <alignment horizontal="right" vertical="center"/>
      <protection/>
    </xf>
    <xf numFmtId="0" fontId="34" fillId="5" borderId="0" xfId="0" applyFont="1" applyFill="1" applyAlignment="1" applyProtection="1">
      <alignment horizontal="center" vertical="center"/>
      <protection/>
    </xf>
    <xf numFmtId="0" fontId="34" fillId="5" borderId="0" xfId="0" applyFont="1" applyFill="1" applyAlignment="1" applyProtection="1">
      <alignment vertical="center"/>
      <protection/>
    </xf>
    <xf numFmtId="184" fontId="97" fillId="5" borderId="0" xfId="0" applyNumberFormat="1" applyFont="1" applyFill="1" applyAlignment="1" applyProtection="1">
      <alignment horizontal="right" vertical="center"/>
      <protection/>
    </xf>
    <xf numFmtId="184" fontId="25" fillId="5" borderId="0" xfId="0" applyNumberFormat="1" applyFont="1" applyFill="1" applyAlignment="1" applyProtection="1">
      <alignment horizontal="right" vertical="center"/>
      <protection/>
    </xf>
    <xf numFmtId="0" fontId="89" fillId="2" borderId="0" xfId="0" applyFont="1" applyFill="1" applyAlignment="1" applyProtection="1">
      <alignment horizontal="center" vertical="center"/>
      <protection/>
    </xf>
    <xf numFmtId="0" fontId="98" fillId="2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9" fillId="0" borderId="20" xfId="0" applyNumberFormat="1" applyFont="1" applyBorder="1" applyAlignment="1" applyProtection="1">
      <alignment horizontal="center" vertical="center"/>
      <protection locked="0"/>
    </xf>
    <xf numFmtId="0" fontId="99" fillId="0" borderId="0" xfId="0" applyFont="1" applyAlignment="1">
      <alignment horizontal="center" vertical="center"/>
    </xf>
    <xf numFmtId="0" fontId="99" fillId="0" borderId="20" xfId="0" applyFont="1" applyBorder="1" applyAlignment="1" applyProtection="1">
      <alignment horizontal="center" vertical="center"/>
      <protection locked="0"/>
    </xf>
    <xf numFmtId="0" fontId="99" fillId="0" borderId="0" xfId="0" applyFont="1" applyAlignment="1">
      <alignment horizontal="right"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01" fillId="0" borderId="0" xfId="0" applyFont="1" applyAlignment="1">
      <alignment horizontal="left" vertical="center"/>
    </xf>
    <xf numFmtId="0" fontId="34" fillId="0" borderId="20" xfId="0" applyFont="1" applyBorder="1" applyAlignment="1" applyProtection="1">
      <alignment horizontal="right" vertical="center"/>
      <protection locked="0"/>
    </xf>
    <xf numFmtId="0" fontId="92" fillId="0" borderId="21" xfId="0" applyFont="1" applyBorder="1" applyAlignment="1">
      <alignment horizontal="left" vertical="center"/>
    </xf>
    <xf numFmtId="0" fontId="9" fillId="2" borderId="0" xfId="0" applyFont="1" applyFill="1" applyBorder="1" applyAlignment="1" applyProtection="1">
      <alignment horizontal="center"/>
      <protection/>
    </xf>
    <xf numFmtId="0" fontId="5" fillId="2" borderId="0" xfId="21" applyNumberForma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14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4" fillId="4" borderId="0" xfId="21" applyNumberFormat="1" applyFont="1" applyFill="1" applyBorder="1" applyAlignment="1" applyProtection="1">
      <alignment horizontal="center"/>
      <protection/>
    </xf>
    <xf numFmtId="0" fontId="15" fillId="6" borderId="0" xfId="0" applyFont="1" applyFill="1" applyBorder="1" applyAlignment="1">
      <alignment horizontal="center" vertical="center"/>
    </xf>
    <xf numFmtId="0" fontId="81" fillId="7" borderId="10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 vertical="center"/>
    </xf>
    <xf numFmtId="0" fontId="93" fillId="5" borderId="0" xfId="0" applyFont="1" applyFill="1" applyBorder="1" applyAlignment="1">
      <alignment horizontal="center"/>
    </xf>
    <xf numFmtId="0" fontId="93" fillId="5" borderId="9" xfId="0" applyFont="1" applyFill="1" applyBorder="1" applyAlignment="1">
      <alignment horizontal="center"/>
    </xf>
    <xf numFmtId="184" fontId="25" fillId="5" borderId="3" xfId="0" applyNumberFormat="1" applyFont="1" applyFill="1" applyBorder="1" applyAlignment="1">
      <alignment horizontal="center" vertical="center"/>
    </xf>
    <xf numFmtId="176" fontId="25" fillId="5" borderId="3" xfId="0" applyNumberFormat="1" applyFont="1" applyFill="1" applyBorder="1" applyAlignment="1">
      <alignment horizontal="center" vertical="center"/>
    </xf>
    <xf numFmtId="176" fontId="26" fillId="5" borderId="3" xfId="0" applyNumberFormat="1" applyFont="1" applyFill="1" applyBorder="1" applyAlignment="1">
      <alignment horizontal="center" vertical="center"/>
    </xf>
    <xf numFmtId="0" fontId="83" fillId="5" borderId="3" xfId="0" applyFont="1" applyFill="1" applyBorder="1" applyAlignment="1" applyProtection="1">
      <alignment horizontal="center" vertical="center"/>
      <protection/>
    </xf>
    <xf numFmtId="0" fontId="29" fillId="5" borderId="3" xfId="0" applyFont="1" applyFill="1" applyBorder="1" applyAlignment="1" applyProtection="1">
      <alignment horizontal="center" vertical="center"/>
      <protection/>
    </xf>
    <xf numFmtId="0" fontId="23" fillId="5" borderId="0" xfId="21" applyNumberFormat="1" applyFont="1" applyFill="1" applyBorder="1" applyAlignment="1" applyProtection="1">
      <alignment horizontal="center"/>
      <protection/>
    </xf>
    <xf numFmtId="0" fontId="43" fillId="6" borderId="0" xfId="0" applyFont="1" applyFill="1" applyBorder="1" applyAlignment="1">
      <alignment horizontal="center"/>
    </xf>
    <xf numFmtId="0" fontId="84" fillId="7" borderId="10" xfId="0" applyFont="1" applyFill="1" applyBorder="1" applyAlignment="1" applyProtection="1">
      <alignment horizontal="center"/>
      <protection/>
    </xf>
    <xf numFmtId="0" fontId="45" fillId="7" borderId="10" xfId="0" applyFont="1" applyFill="1" applyBorder="1" applyAlignment="1" applyProtection="1">
      <alignment horizontal="center"/>
      <protection/>
    </xf>
    <xf numFmtId="0" fontId="26" fillId="7" borderId="10" xfId="0" applyFont="1" applyFill="1" applyBorder="1" applyAlignment="1" applyProtection="1">
      <alignment horizontal="left"/>
      <protection/>
    </xf>
    <xf numFmtId="0" fontId="26" fillId="7" borderId="10" xfId="0" applyFont="1" applyFill="1" applyBorder="1" applyAlignment="1" applyProtection="1">
      <alignment horizontal="left" vertical="center"/>
      <protection/>
    </xf>
    <xf numFmtId="0" fontId="74" fillId="5" borderId="0" xfId="0" applyFont="1" applyFill="1" applyBorder="1" applyAlignment="1" applyProtection="1">
      <alignment horizontal="center" vertical="center"/>
      <protection/>
    </xf>
    <xf numFmtId="0" fontId="73" fillId="6" borderId="22" xfId="0" applyFont="1" applyFill="1" applyBorder="1" applyAlignment="1" applyProtection="1">
      <alignment horizontal="center" vertical="center"/>
      <protection/>
    </xf>
    <xf numFmtId="0" fontId="23" fillId="0" borderId="21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20" xfId="0" applyFont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center" vertical="center"/>
      <protection locked="0"/>
    </xf>
    <xf numFmtId="0" fontId="76" fillId="0" borderId="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23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dxfs count="5">
    <dxf>
      <font>
        <b val="0"/>
        <color rgb="FF993300"/>
      </font>
      <border/>
    </dxf>
    <dxf>
      <font>
        <b/>
        <i val="0"/>
      </font>
      <border/>
    </dxf>
    <dxf>
      <fill>
        <patternFill patternType="solid">
          <fgColor rgb="FFFFBF72"/>
          <bgColor rgb="FFFFCC99"/>
        </patternFill>
      </fill>
      <border>
        <left style="thin">
          <color rgb="FFFF9900"/>
        </left>
        <right style="thin">
          <color rgb="FF0000FF"/>
        </right>
        <top style="thin"/>
        <bottom style="thin">
          <color rgb="FF0000FF"/>
        </bottom>
      </border>
    </dxf>
    <dxf>
      <fill>
        <patternFill patternType="solid">
          <fgColor rgb="FFFFBF72"/>
          <bgColor rgb="FFFFCC99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  <dxf>
      <fill>
        <patternFill patternType="solid">
          <fgColor rgb="FFFF66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7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8.jpeg" /><Relationship Id="rId4" Type="http://schemas.openxmlformats.org/officeDocument/2006/relationships/hyperlink" Target="http://kr.fifaworldcup.yahoo.com/06/kr/" TargetMode="External" /><Relationship Id="rId5" Type="http://schemas.openxmlformats.org/officeDocument/2006/relationships/hyperlink" Target="http://kr.fifaworldcup.yahoo.com/06/kr/" TargetMode="External" /><Relationship Id="rId6" Type="http://schemas.openxmlformats.org/officeDocument/2006/relationships/image" Target="../media/image49.png" /><Relationship Id="rId7" Type="http://schemas.openxmlformats.org/officeDocument/2006/relationships/hyperlink" Target="http://creativecommons.org/licenses/by-nc-sa/2.5/es/" TargetMode="External" /><Relationship Id="rId8" Type="http://schemas.openxmlformats.org/officeDocument/2006/relationships/hyperlink" Target="http://creativecommons.org/licenses/by-nc-sa/2.5/es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44.png" /><Relationship Id="rId3" Type="http://schemas.openxmlformats.org/officeDocument/2006/relationships/image" Target="../media/image45.png" /><Relationship Id="rId4" Type="http://schemas.openxmlformats.org/officeDocument/2006/relationships/image" Target="../media/image46.png" /><Relationship Id="rId5" Type="http://schemas.openxmlformats.org/officeDocument/2006/relationships/image" Target="../media/image4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24.png" /><Relationship Id="rId3" Type="http://schemas.openxmlformats.org/officeDocument/2006/relationships/image" Target="../media/image25.png" /><Relationship Id="rId4" Type="http://schemas.openxmlformats.org/officeDocument/2006/relationships/image" Target="../media/image26.png" /><Relationship Id="rId5" Type="http://schemas.openxmlformats.org/officeDocument/2006/relationships/image" Target="../media/image2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28.png" /><Relationship Id="rId3" Type="http://schemas.openxmlformats.org/officeDocument/2006/relationships/image" Target="../media/image29.png" /><Relationship Id="rId4" Type="http://schemas.openxmlformats.org/officeDocument/2006/relationships/image" Target="../media/image30.png" /><Relationship Id="rId5" Type="http://schemas.openxmlformats.org/officeDocument/2006/relationships/image" Target="../media/image3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32.jpeg" /><Relationship Id="rId3" Type="http://schemas.openxmlformats.org/officeDocument/2006/relationships/image" Target="../media/image33.png" /><Relationship Id="rId4" Type="http://schemas.openxmlformats.org/officeDocument/2006/relationships/image" Target="../media/image34.jpeg" /><Relationship Id="rId5" Type="http://schemas.openxmlformats.org/officeDocument/2006/relationships/image" Target="../media/image3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36.png" /><Relationship Id="rId3" Type="http://schemas.openxmlformats.org/officeDocument/2006/relationships/image" Target="../media/image37.png" /><Relationship Id="rId4" Type="http://schemas.openxmlformats.org/officeDocument/2006/relationships/image" Target="../media/image38.png" /><Relationship Id="rId5" Type="http://schemas.openxmlformats.org/officeDocument/2006/relationships/image" Target="../media/image3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40.png" /><Relationship Id="rId3" Type="http://schemas.openxmlformats.org/officeDocument/2006/relationships/image" Target="../media/image41.png" /><Relationship Id="rId4" Type="http://schemas.openxmlformats.org/officeDocument/2006/relationships/image" Target="../media/image42.png" /><Relationship Id="rId5" Type="http://schemas.openxmlformats.org/officeDocument/2006/relationships/image" Target="../media/image4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3</xdr:row>
      <xdr:rowOff>85725</xdr:rowOff>
    </xdr:from>
    <xdr:to>
      <xdr:col>3</xdr:col>
      <xdr:colOff>695325</xdr:colOff>
      <xdr:row>14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62000"/>
          <a:ext cx="2314575" cy="2305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657225</xdr:colOff>
      <xdr:row>5</xdr:row>
      <xdr:rowOff>76200</xdr:rowOff>
    </xdr:from>
    <xdr:to>
      <xdr:col>5</xdr:col>
      <xdr:colOff>581025</xdr:colOff>
      <xdr:row>13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1295400"/>
          <a:ext cx="685800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4</xdr:col>
      <xdr:colOff>76200</xdr:colOff>
      <xdr:row>29</xdr:row>
      <xdr:rowOff>152400</xdr:rowOff>
    </xdr:to>
    <xdr:pic>
      <xdr:nvPicPr>
        <xdr:cNvPr id="3" name="Picture 5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5105400"/>
          <a:ext cx="1619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26</xdr:row>
      <xdr:rowOff>123825</xdr:rowOff>
    </xdr:from>
    <xdr:to>
      <xdr:col>6</xdr:col>
      <xdr:colOff>581025</xdr:colOff>
      <xdr:row>28</xdr:row>
      <xdr:rowOff>95250</xdr:rowOff>
    </xdr:to>
    <xdr:pic>
      <xdr:nvPicPr>
        <xdr:cNvPr id="4" name="Picture 7" descr="Licencia de Creative Commons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33875" y="5229225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9525</xdr:rowOff>
    </xdr:from>
    <xdr:to>
      <xdr:col>18</xdr:col>
      <xdr:colOff>371475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8953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6</xdr:row>
      <xdr:rowOff>19050</xdr:rowOff>
    </xdr:from>
    <xdr:to>
      <xdr:col>16</xdr:col>
      <xdr:colOff>76200</xdr:colOff>
      <xdr:row>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6668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8</xdr:row>
      <xdr:rowOff>9525</xdr:rowOff>
    </xdr:from>
    <xdr:to>
      <xdr:col>16</xdr:col>
      <xdr:colOff>76200</xdr:colOff>
      <xdr:row>8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2019300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10</xdr:row>
      <xdr:rowOff>19050</xdr:rowOff>
    </xdr:from>
    <xdr:to>
      <xdr:col>16</xdr:col>
      <xdr:colOff>76200</xdr:colOff>
      <xdr:row>10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34075" y="23907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12</xdr:row>
      <xdr:rowOff>9525</xdr:rowOff>
    </xdr:from>
    <xdr:to>
      <xdr:col>16</xdr:col>
      <xdr:colOff>76200</xdr:colOff>
      <xdr:row>12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34075" y="27336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504825</xdr:colOff>
      <xdr:row>0</xdr:row>
      <xdr:rowOff>9525</xdr:rowOff>
    </xdr:from>
    <xdr:to>
      <xdr:col>18</xdr:col>
      <xdr:colOff>238125</xdr:colOff>
      <xdr:row>1</xdr:row>
      <xdr:rowOff>409575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7620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504825</xdr:colOff>
      <xdr:row>0</xdr:row>
      <xdr:rowOff>9525</xdr:rowOff>
    </xdr:from>
    <xdr:to>
      <xdr:col>18</xdr:col>
      <xdr:colOff>371475</xdr:colOff>
      <xdr:row>1</xdr:row>
      <xdr:rowOff>409575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8953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752475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3552825" y="1809750"/>
          <a:ext cx="7524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752475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>
          <a:off x="3552825" y="2457450"/>
          <a:ext cx="7524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752475</xdr:colOff>
      <xdr:row>15</xdr:row>
      <xdr:rowOff>85725</xdr:rowOff>
    </xdr:to>
    <xdr:sp>
      <xdr:nvSpPr>
        <xdr:cNvPr id="3" name="Line 3"/>
        <xdr:cNvSpPr>
          <a:spLocks/>
        </xdr:cNvSpPr>
      </xdr:nvSpPr>
      <xdr:spPr>
        <a:xfrm>
          <a:off x="3552825" y="3105150"/>
          <a:ext cx="7524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752475</xdr:colOff>
      <xdr:row>19</xdr:row>
      <xdr:rowOff>85725</xdr:rowOff>
    </xdr:to>
    <xdr:sp>
      <xdr:nvSpPr>
        <xdr:cNvPr id="4" name="Line 4"/>
        <xdr:cNvSpPr>
          <a:spLocks/>
        </xdr:cNvSpPr>
      </xdr:nvSpPr>
      <xdr:spPr>
        <a:xfrm>
          <a:off x="3552825" y="3752850"/>
          <a:ext cx="7524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85725</xdr:rowOff>
    </xdr:from>
    <xdr:to>
      <xdr:col>8</xdr:col>
      <xdr:colOff>752475</xdr:colOff>
      <xdr:row>23</xdr:row>
      <xdr:rowOff>85725</xdr:rowOff>
    </xdr:to>
    <xdr:sp>
      <xdr:nvSpPr>
        <xdr:cNvPr id="5" name="Line 5"/>
        <xdr:cNvSpPr>
          <a:spLocks/>
        </xdr:cNvSpPr>
      </xdr:nvSpPr>
      <xdr:spPr>
        <a:xfrm>
          <a:off x="3552825" y="4400550"/>
          <a:ext cx="7524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752475</xdr:colOff>
      <xdr:row>29</xdr:row>
      <xdr:rowOff>85725</xdr:rowOff>
    </xdr:to>
    <xdr:sp>
      <xdr:nvSpPr>
        <xdr:cNvPr id="6" name="Line 6"/>
        <xdr:cNvSpPr>
          <a:spLocks/>
        </xdr:cNvSpPr>
      </xdr:nvSpPr>
      <xdr:spPr>
        <a:xfrm>
          <a:off x="3552825" y="5048250"/>
          <a:ext cx="7524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752475</xdr:colOff>
      <xdr:row>33</xdr:row>
      <xdr:rowOff>85725</xdr:rowOff>
    </xdr:to>
    <xdr:sp>
      <xdr:nvSpPr>
        <xdr:cNvPr id="7" name="Line 7"/>
        <xdr:cNvSpPr>
          <a:spLocks/>
        </xdr:cNvSpPr>
      </xdr:nvSpPr>
      <xdr:spPr>
        <a:xfrm>
          <a:off x="3552825" y="5695950"/>
          <a:ext cx="7524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752475</xdr:colOff>
      <xdr:row>37</xdr:row>
      <xdr:rowOff>85725</xdr:rowOff>
    </xdr:to>
    <xdr:sp>
      <xdr:nvSpPr>
        <xdr:cNvPr id="8" name="Line 8"/>
        <xdr:cNvSpPr>
          <a:spLocks/>
        </xdr:cNvSpPr>
      </xdr:nvSpPr>
      <xdr:spPr>
        <a:xfrm>
          <a:off x="3552825" y="6343650"/>
          <a:ext cx="7524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0</xdr:row>
      <xdr:rowOff>9525</xdr:rowOff>
    </xdr:from>
    <xdr:to>
      <xdr:col>14</xdr:col>
      <xdr:colOff>733425</xdr:colOff>
      <xdr:row>1</xdr:row>
      <xdr:rowOff>419100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9525"/>
          <a:ext cx="8953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752475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86200" y="1800225"/>
          <a:ext cx="7524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752475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>
          <a:off x="3886200" y="2533650"/>
          <a:ext cx="7524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752475</xdr:colOff>
      <xdr:row>15</xdr:row>
      <xdr:rowOff>85725</xdr:rowOff>
    </xdr:to>
    <xdr:sp>
      <xdr:nvSpPr>
        <xdr:cNvPr id="3" name="Line 3"/>
        <xdr:cNvSpPr>
          <a:spLocks/>
        </xdr:cNvSpPr>
      </xdr:nvSpPr>
      <xdr:spPr>
        <a:xfrm>
          <a:off x="3886200" y="3267075"/>
          <a:ext cx="7524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752475</xdr:colOff>
      <xdr:row>19</xdr:row>
      <xdr:rowOff>85725</xdr:rowOff>
    </xdr:to>
    <xdr:sp>
      <xdr:nvSpPr>
        <xdr:cNvPr id="4" name="Line 4"/>
        <xdr:cNvSpPr>
          <a:spLocks/>
        </xdr:cNvSpPr>
      </xdr:nvSpPr>
      <xdr:spPr>
        <a:xfrm>
          <a:off x="3886200" y="4000500"/>
          <a:ext cx="7524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0</xdr:row>
      <xdr:rowOff>9525</xdr:rowOff>
    </xdr:from>
    <xdr:to>
      <xdr:col>14</xdr:col>
      <xdr:colOff>733425</xdr:colOff>
      <xdr:row>1</xdr:row>
      <xdr:rowOff>419100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9525"/>
          <a:ext cx="8953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752475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3943350" y="2143125"/>
          <a:ext cx="7524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752475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>
          <a:off x="3943350" y="3114675"/>
          <a:ext cx="7524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0</xdr:row>
      <xdr:rowOff>9525</xdr:rowOff>
    </xdr:from>
    <xdr:to>
      <xdr:col>14</xdr:col>
      <xdr:colOff>733425</xdr:colOff>
      <xdr:row>1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525"/>
          <a:ext cx="8953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85725</xdr:rowOff>
    </xdr:from>
    <xdr:to>
      <xdr:col>8</xdr:col>
      <xdr:colOff>638175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4562475" y="1876425"/>
          <a:ext cx="6381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114300</xdr:rowOff>
    </xdr:from>
    <xdr:to>
      <xdr:col>8</xdr:col>
      <xdr:colOff>685800</xdr:colOff>
      <xdr:row>15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4562475" y="3400425"/>
          <a:ext cx="68580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0</xdr:row>
      <xdr:rowOff>9525</xdr:rowOff>
    </xdr:from>
    <xdr:to>
      <xdr:col>14</xdr:col>
      <xdr:colOff>733425</xdr:colOff>
      <xdr:row>1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9525"/>
          <a:ext cx="8953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66675</xdr:rowOff>
    </xdr:from>
    <xdr:to>
      <xdr:col>2</xdr:col>
      <xdr:colOff>647700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28675"/>
          <a:ext cx="20097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171450</xdr:colOff>
      <xdr:row>3</xdr:row>
      <xdr:rowOff>57150</xdr:rowOff>
    </xdr:from>
    <xdr:to>
      <xdr:col>5</xdr:col>
      <xdr:colOff>647700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819150"/>
          <a:ext cx="20002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3</xdr:row>
      <xdr:rowOff>28575</xdr:rowOff>
    </xdr:from>
    <xdr:to>
      <xdr:col>11</xdr:col>
      <xdr:colOff>638175</xdr:colOff>
      <xdr:row>9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790575"/>
          <a:ext cx="20002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12</xdr:row>
      <xdr:rowOff>28575</xdr:rowOff>
    </xdr:from>
    <xdr:to>
      <xdr:col>2</xdr:col>
      <xdr:colOff>638175</xdr:colOff>
      <xdr:row>18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2247900"/>
          <a:ext cx="20002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21</xdr:row>
      <xdr:rowOff>47625</xdr:rowOff>
    </xdr:from>
    <xdr:to>
      <xdr:col>2</xdr:col>
      <xdr:colOff>609600</xdr:colOff>
      <xdr:row>27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3724275"/>
          <a:ext cx="20002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152400</xdr:colOff>
      <xdr:row>12</xdr:row>
      <xdr:rowOff>85725</xdr:rowOff>
    </xdr:from>
    <xdr:to>
      <xdr:col>8</xdr:col>
      <xdr:colOff>628650</xdr:colOff>
      <xdr:row>19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2305050"/>
          <a:ext cx="20002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219075</xdr:colOff>
      <xdr:row>3</xdr:row>
      <xdr:rowOff>38100</xdr:rowOff>
    </xdr:from>
    <xdr:to>
      <xdr:col>8</xdr:col>
      <xdr:colOff>619125</xdr:colOff>
      <xdr:row>9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91075" y="800100"/>
          <a:ext cx="19240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12</xdr:row>
      <xdr:rowOff>76200</xdr:rowOff>
    </xdr:from>
    <xdr:to>
      <xdr:col>5</xdr:col>
      <xdr:colOff>638175</xdr:colOff>
      <xdr:row>19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47925" y="2295525"/>
          <a:ext cx="20002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190500</xdr:colOff>
      <xdr:row>12</xdr:row>
      <xdr:rowOff>85725</xdr:rowOff>
    </xdr:from>
    <xdr:to>
      <xdr:col>11</xdr:col>
      <xdr:colOff>666750</xdr:colOff>
      <xdr:row>19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48500" y="2305050"/>
          <a:ext cx="20002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114300</xdr:colOff>
      <xdr:row>21</xdr:row>
      <xdr:rowOff>57150</xdr:rowOff>
    </xdr:from>
    <xdr:to>
      <xdr:col>5</xdr:col>
      <xdr:colOff>590550</xdr:colOff>
      <xdr:row>28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00300" y="3733800"/>
          <a:ext cx="20002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142875</xdr:colOff>
      <xdr:row>21</xdr:row>
      <xdr:rowOff>28575</xdr:rowOff>
    </xdr:from>
    <xdr:to>
      <xdr:col>8</xdr:col>
      <xdr:colOff>619125</xdr:colOff>
      <xdr:row>27</xdr:row>
      <xdr:rowOff>133350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14875" y="3705225"/>
          <a:ext cx="20002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21</xdr:row>
      <xdr:rowOff>38100</xdr:rowOff>
    </xdr:from>
    <xdr:to>
      <xdr:col>11</xdr:col>
      <xdr:colOff>638175</xdr:colOff>
      <xdr:row>27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19925" y="3714750"/>
          <a:ext cx="20002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9525</xdr:rowOff>
    </xdr:from>
    <xdr:to>
      <xdr:col>18</xdr:col>
      <xdr:colOff>371475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525"/>
          <a:ext cx="8953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371475</xdr:colOff>
      <xdr:row>6</xdr:row>
      <xdr:rowOff>19050</xdr:rowOff>
    </xdr:from>
    <xdr:to>
      <xdr:col>16</xdr:col>
      <xdr:colOff>180975</xdr:colOff>
      <xdr:row>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666875"/>
          <a:ext cx="1905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361950</xdr:colOff>
      <xdr:row>8</xdr:row>
      <xdr:rowOff>19050</xdr:rowOff>
    </xdr:from>
    <xdr:to>
      <xdr:col>16</xdr:col>
      <xdr:colOff>180975</xdr:colOff>
      <xdr:row>8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2028825"/>
          <a:ext cx="200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361950</xdr:colOff>
      <xdr:row>10</xdr:row>
      <xdr:rowOff>19050</xdr:rowOff>
    </xdr:from>
    <xdr:to>
      <xdr:col>16</xdr:col>
      <xdr:colOff>180975</xdr:colOff>
      <xdr:row>10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2390775"/>
          <a:ext cx="200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361950</xdr:colOff>
      <xdr:row>12</xdr:row>
      <xdr:rowOff>9525</xdr:rowOff>
    </xdr:from>
    <xdr:to>
      <xdr:col>16</xdr:col>
      <xdr:colOff>180975</xdr:colOff>
      <xdr:row>12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57900" y="2733675"/>
          <a:ext cx="200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9525</xdr:rowOff>
    </xdr:from>
    <xdr:to>
      <xdr:col>18</xdr:col>
      <xdr:colOff>371475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525"/>
          <a:ext cx="8953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180975</xdr:colOff>
      <xdr:row>6</xdr:row>
      <xdr:rowOff>9525</xdr:rowOff>
    </xdr:from>
    <xdr:to>
      <xdr:col>16</xdr:col>
      <xdr:colOff>0</xdr:colOff>
      <xdr:row>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657350"/>
          <a:ext cx="200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180975</xdr:colOff>
      <xdr:row>8</xdr:row>
      <xdr:rowOff>9525</xdr:rowOff>
    </xdr:from>
    <xdr:to>
      <xdr:col>16</xdr:col>
      <xdr:colOff>0</xdr:colOff>
      <xdr:row>8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2019300"/>
          <a:ext cx="200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180975</xdr:colOff>
      <xdr:row>10</xdr:row>
      <xdr:rowOff>19050</xdr:rowOff>
    </xdr:from>
    <xdr:to>
      <xdr:col>16</xdr:col>
      <xdr:colOff>0</xdr:colOff>
      <xdr:row>10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2390775"/>
          <a:ext cx="200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171450</xdr:colOff>
      <xdr:row>12</xdr:row>
      <xdr:rowOff>9525</xdr:rowOff>
    </xdr:from>
    <xdr:to>
      <xdr:col>16</xdr:col>
      <xdr:colOff>0</xdr:colOff>
      <xdr:row>12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27336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504825</xdr:colOff>
      <xdr:row>0</xdr:row>
      <xdr:rowOff>9525</xdr:rowOff>
    </xdr:from>
    <xdr:to>
      <xdr:col>18</xdr:col>
      <xdr:colOff>371475</xdr:colOff>
      <xdr:row>1</xdr:row>
      <xdr:rowOff>409575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525"/>
          <a:ext cx="8953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9525</xdr:rowOff>
    </xdr:from>
    <xdr:to>
      <xdr:col>18</xdr:col>
      <xdr:colOff>238125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9525"/>
          <a:ext cx="8953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152400</xdr:colOff>
      <xdr:row>6</xdr:row>
      <xdr:rowOff>19050</xdr:rowOff>
    </xdr:from>
    <xdr:to>
      <xdr:col>15</xdr:col>
      <xdr:colOff>361950</xdr:colOff>
      <xdr:row>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6668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152400</xdr:colOff>
      <xdr:row>8</xdr:row>
      <xdr:rowOff>19050</xdr:rowOff>
    </xdr:from>
    <xdr:to>
      <xdr:col>15</xdr:col>
      <xdr:colOff>361950</xdr:colOff>
      <xdr:row>8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202882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152400</xdr:colOff>
      <xdr:row>10</xdr:row>
      <xdr:rowOff>19050</xdr:rowOff>
    </xdr:from>
    <xdr:to>
      <xdr:col>15</xdr:col>
      <xdr:colOff>361950</xdr:colOff>
      <xdr:row>10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0" y="23907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152400</xdr:colOff>
      <xdr:row>12</xdr:row>
      <xdr:rowOff>19050</xdr:rowOff>
    </xdr:from>
    <xdr:to>
      <xdr:col>15</xdr:col>
      <xdr:colOff>361950</xdr:colOff>
      <xdr:row>12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0" y="2743200"/>
          <a:ext cx="2095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504825</xdr:colOff>
      <xdr:row>0</xdr:row>
      <xdr:rowOff>9525</xdr:rowOff>
    </xdr:from>
    <xdr:to>
      <xdr:col>18</xdr:col>
      <xdr:colOff>371475</xdr:colOff>
      <xdr:row>1</xdr:row>
      <xdr:rowOff>409575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9525"/>
          <a:ext cx="1028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9525</xdr:rowOff>
    </xdr:from>
    <xdr:to>
      <xdr:col>18</xdr:col>
      <xdr:colOff>371475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525"/>
          <a:ext cx="8953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228600</xdr:colOff>
      <xdr:row>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16668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228600</xdr:colOff>
      <xdr:row>8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202882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19050</xdr:colOff>
      <xdr:row>10</xdr:row>
      <xdr:rowOff>19050</xdr:rowOff>
    </xdr:from>
    <xdr:to>
      <xdr:col>16</xdr:col>
      <xdr:colOff>228600</xdr:colOff>
      <xdr:row>10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23907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19050</xdr:colOff>
      <xdr:row>12</xdr:row>
      <xdr:rowOff>9525</xdr:rowOff>
    </xdr:from>
    <xdr:to>
      <xdr:col>16</xdr:col>
      <xdr:colOff>228600</xdr:colOff>
      <xdr:row>12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27336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504825</xdr:colOff>
      <xdr:row>0</xdr:row>
      <xdr:rowOff>9525</xdr:rowOff>
    </xdr:from>
    <xdr:to>
      <xdr:col>18</xdr:col>
      <xdr:colOff>238125</xdr:colOff>
      <xdr:row>1</xdr:row>
      <xdr:rowOff>409575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525"/>
          <a:ext cx="7620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504825</xdr:colOff>
      <xdr:row>0</xdr:row>
      <xdr:rowOff>9525</xdr:rowOff>
    </xdr:from>
    <xdr:to>
      <xdr:col>18</xdr:col>
      <xdr:colOff>371475</xdr:colOff>
      <xdr:row>1</xdr:row>
      <xdr:rowOff>409575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525"/>
          <a:ext cx="8953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9525</xdr:rowOff>
    </xdr:from>
    <xdr:to>
      <xdr:col>18</xdr:col>
      <xdr:colOff>371475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525"/>
          <a:ext cx="8953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342900</xdr:colOff>
      <xdr:row>6</xdr:row>
      <xdr:rowOff>19050</xdr:rowOff>
    </xdr:from>
    <xdr:to>
      <xdr:col>16</xdr:col>
      <xdr:colOff>171450</xdr:colOff>
      <xdr:row>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16668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342900</xdr:colOff>
      <xdr:row>8</xdr:row>
      <xdr:rowOff>19050</xdr:rowOff>
    </xdr:from>
    <xdr:to>
      <xdr:col>16</xdr:col>
      <xdr:colOff>171450</xdr:colOff>
      <xdr:row>8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202882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342900</xdr:colOff>
      <xdr:row>10</xdr:row>
      <xdr:rowOff>19050</xdr:rowOff>
    </xdr:from>
    <xdr:to>
      <xdr:col>16</xdr:col>
      <xdr:colOff>171450</xdr:colOff>
      <xdr:row>10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23907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342900</xdr:colOff>
      <xdr:row>12</xdr:row>
      <xdr:rowOff>9525</xdr:rowOff>
    </xdr:from>
    <xdr:to>
      <xdr:col>16</xdr:col>
      <xdr:colOff>171450</xdr:colOff>
      <xdr:row>12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27336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504825</xdr:colOff>
      <xdr:row>0</xdr:row>
      <xdr:rowOff>9525</xdr:rowOff>
    </xdr:from>
    <xdr:to>
      <xdr:col>18</xdr:col>
      <xdr:colOff>238125</xdr:colOff>
      <xdr:row>1</xdr:row>
      <xdr:rowOff>409575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525"/>
          <a:ext cx="7620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504825</xdr:colOff>
      <xdr:row>0</xdr:row>
      <xdr:rowOff>9525</xdr:rowOff>
    </xdr:from>
    <xdr:to>
      <xdr:col>18</xdr:col>
      <xdr:colOff>371475</xdr:colOff>
      <xdr:row>1</xdr:row>
      <xdr:rowOff>409575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525"/>
          <a:ext cx="8953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9525</xdr:rowOff>
    </xdr:from>
    <xdr:to>
      <xdr:col>18</xdr:col>
      <xdr:colOff>371475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525"/>
          <a:ext cx="8953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38100</xdr:colOff>
      <xdr:row>6</xdr:row>
      <xdr:rowOff>19050</xdr:rowOff>
    </xdr:from>
    <xdr:to>
      <xdr:col>16</xdr:col>
      <xdr:colOff>247650</xdr:colOff>
      <xdr:row>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6668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38100</xdr:colOff>
      <xdr:row>10</xdr:row>
      <xdr:rowOff>19050</xdr:rowOff>
    </xdr:from>
    <xdr:to>
      <xdr:col>16</xdr:col>
      <xdr:colOff>247650</xdr:colOff>
      <xdr:row>10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23907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38100</xdr:colOff>
      <xdr:row>8</xdr:row>
      <xdr:rowOff>19050</xdr:rowOff>
    </xdr:from>
    <xdr:to>
      <xdr:col>16</xdr:col>
      <xdr:colOff>247650</xdr:colOff>
      <xdr:row>8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15050" y="202882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38100</xdr:colOff>
      <xdr:row>12</xdr:row>
      <xdr:rowOff>9525</xdr:rowOff>
    </xdr:from>
    <xdr:to>
      <xdr:col>16</xdr:col>
      <xdr:colOff>247650</xdr:colOff>
      <xdr:row>12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15050" y="27336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504825</xdr:colOff>
      <xdr:row>0</xdr:row>
      <xdr:rowOff>9525</xdr:rowOff>
    </xdr:from>
    <xdr:to>
      <xdr:col>18</xdr:col>
      <xdr:colOff>238125</xdr:colOff>
      <xdr:row>1</xdr:row>
      <xdr:rowOff>409575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525"/>
          <a:ext cx="7620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504825</xdr:colOff>
      <xdr:row>0</xdr:row>
      <xdr:rowOff>9525</xdr:rowOff>
    </xdr:from>
    <xdr:to>
      <xdr:col>18</xdr:col>
      <xdr:colOff>371475</xdr:colOff>
      <xdr:row>1</xdr:row>
      <xdr:rowOff>409575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525"/>
          <a:ext cx="8953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9525</xdr:rowOff>
    </xdr:from>
    <xdr:to>
      <xdr:col>18</xdr:col>
      <xdr:colOff>371475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525"/>
          <a:ext cx="8953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8</xdr:row>
      <xdr:rowOff>19050</xdr:rowOff>
    </xdr:from>
    <xdr:to>
      <xdr:col>16</xdr:col>
      <xdr:colOff>123825</xdr:colOff>
      <xdr:row>8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202882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285750</xdr:colOff>
      <xdr:row>10</xdr:row>
      <xdr:rowOff>19050</xdr:rowOff>
    </xdr:from>
    <xdr:to>
      <xdr:col>16</xdr:col>
      <xdr:colOff>114300</xdr:colOff>
      <xdr:row>10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23907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285750</xdr:colOff>
      <xdr:row>12</xdr:row>
      <xdr:rowOff>9525</xdr:rowOff>
    </xdr:from>
    <xdr:to>
      <xdr:col>16</xdr:col>
      <xdr:colOff>114300</xdr:colOff>
      <xdr:row>12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27336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6</xdr:row>
      <xdr:rowOff>19050</xdr:rowOff>
    </xdr:from>
    <xdr:to>
      <xdr:col>16</xdr:col>
      <xdr:colOff>123825</xdr:colOff>
      <xdr:row>6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91225" y="166687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504825</xdr:colOff>
      <xdr:row>0</xdr:row>
      <xdr:rowOff>9525</xdr:rowOff>
    </xdr:from>
    <xdr:to>
      <xdr:col>18</xdr:col>
      <xdr:colOff>238125</xdr:colOff>
      <xdr:row>1</xdr:row>
      <xdr:rowOff>409575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525"/>
          <a:ext cx="7620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504825</xdr:colOff>
      <xdr:row>0</xdr:row>
      <xdr:rowOff>9525</xdr:rowOff>
    </xdr:from>
    <xdr:to>
      <xdr:col>18</xdr:col>
      <xdr:colOff>371475</xdr:colOff>
      <xdr:row>1</xdr:row>
      <xdr:rowOff>409575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525"/>
          <a:ext cx="8953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tersystems.bravehos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7"/>
  </sheetPr>
  <dimension ref="B2:K25"/>
  <sheetViews>
    <sheetView showGridLines="0" showRowColHeaders="0" tabSelected="1" showOutlineSymbols="0" workbookViewId="0" topLeftCell="A1">
      <selection activeCell="H33" sqref="H33"/>
    </sheetView>
  </sheetViews>
  <sheetFormatPr defaultColWidth="9.140625" defaultRowHeight="12.75"/>
  <cols>
    <col min="1" max="2" width="11.421875" style="1" customWidth="1"/>
    <col min="3" max="3" width="11.7109375" style="1" customWidth="1"/>
    <col min="4" max="6" width="11.421875" style="1" customWidth="1"/>
    <col min="7" max="7" width="9.57421875" style="1" customWidth="1"/>
    <col min="8" max="8" width="3.421875" style="1" customWidth="1"/>
    <col min="9" max="9" width="16.28125" style="2" customWidth="1"/>
    <col min="10" max="10" width="3.00390625" style="2" customWidth="1"/>
    <col min="11" max="11" width="15.140625" style="2" customWidth="1"/>
    <col min="12" max="16384" width="11.421875" style="1" customWidth="1"/>
  </cols>
  <sheetData>
    <row r="2" spans="2:11" ht="25.5">
      <c r="B2" s="199" t="s">
        <v>132</v>
      </c>
      <c r="C2" s="199"/>
      <c r="D2" s="199"/>
      <c r="E2" s="199"/>
      <c r="F2" s="199"/>
      <c r="G2" s="199"/>
      <c r="H2" s="199"/>
      <c r="I2" s="199"/>
      <c r="J2" s="199"/>
      <c r="K2" s="199"/>
    </row>
    <row r="3" spans="2:11" ht="15">
      <c r="B3" s="200" t="s">
        <v>121</v>
      </c>
      <c r="C3" s="200"/>
      <c r="D3" s="200"/>
      <c r="E3" s="200"/>
      <c r="F3" s="200"/>
      <c r="G3" s="200"/>
      <c r="H3" s="200"/>
      <c r="I3" s="200"/>
      <c r="J3" s="200"/>
      <c r="K3" s="200"/>
    </row>
    <row r="4" spans="2:11" ht="24.75">
      <c r="B4" s="201" t="s">
        <v>65</v>
      </c>
      <c r="C4" s="201"/>
      <c r="D4" s="201"/>
      <c r="E4" s="201"/>
      <c r="F4" s="201"/>
      <c r="G4" s="201"/>
      <c r="H4" s="201"/>
      <c r="I4" s="201"/>
      <c r="J4" s="201"/>
      <c r="K4" s="201"/>
    </row>
    <row r="5" spans="9:11" s="3" customFormat="1" ht="18" customHeight="1">
      <c r="I5" s="4" t="s">
        <v>59</v>
      </c>
      <c r="J5" s="5"/>
      <c r="K5" s="4" t="s">
        <v>60</v>
      </c>
    </row>
    <row r="6" spans="9:11" s="3" customFormat="1" ht="12.75">
      <c r="I6" s="5"/>
      <c r="J6" s="5"/>
      <c r="K6" s="5"/>
    </row>
    <row r="7" spans="9:11" s="3" customFormat="1" ht="18" customHeight="1">
      <c r="I7" s="4" t="s">
        <v>61</v>
      </c>
      <c r="J7" s="5"/>
      <c r="K7" s="4" t="s">
        <v>62</v>
      </c>
    </row>
    <row r="8" spans="9:11" s="3" customFormat="1" ht="12.75">
      <c r="I8" s="5"/>
      <c r="J8" s="5"/>
      <c r="K8" s="5"/>
    </row>
    <row r="9" spans="9:11" s="3" customFormat="1" ht="18" customHeight="1">
      <c r="I9" s="4" t="s">
        <v>63</v>
      </c>
      <c r="J9" s="5"/>
      <c r="K9" s="4" t="s">
        <v>64</v>
      </c>
    </row>
    <row r="10" spans="9:11" s="3" customFormat="1" ht="12.75">
      <c r="I10" s="5"/>
      <c r="J10" s="5"/>
      <c r="K10" s="5"/>
    </row>
    <row r="11" spans="9:11" s="3" customFormat="1" ht="18" customHeight="1">
      <c r="I11" s="4" t="s">
        <v>210</v>
      </c>
      <c r="J11" s="5"/>
      <c r="K11" s="4" t="s">
        <v>211</v>
      </c>
    </row>
    <row r="12" spans="9:11" s="3" customFormat="1" ht="12.75">
      <c r="I12" s="5"/>
      <c r="J12" s="5"/>
      <c r="K12" s="5"/>
    </row>
    <row r="13" spans="9:11" s="3" customFormat="1" ht="18" customHeight="1">
      <c r="I13" s="4" t="s">
        <v>159</v>
      </c>
      <c r="J13" s="5"/>
      <c r="K13" s="4" t="s">
        <v>160</v>
      </c>
    </row>
    <row r="14" spans="9:11" s="3" customFormat="1" ht="12.75">
      <c r="I14" s="5"/>
      <c r="J14" s="5"/>
      <c r="K14" s="5"/>
    </row>
    <row r="15" spans="9:11" s="3" customFormat="1" ht="18" customHeight="1">
      <c r="I15" s="4" t="s">
        <v>161</v>
      </c>
      <c r="J15" s="6"/>
      <c r="K15" s="4" t="s">
        <v>0</v>
      </c>
    </row>
    <row r="16" spans="9:11" s="3" customFormat="1" ht="13.5" thickBot="1">
      <c r="I16" s="7"/>
      <c r="J16" s="7"/>
      <c r="K16" s="7"/>
    </row>
    <row r="17" spans="3:11" s="3" customFormat="1" ht="18" customHeight="1" thickBot="1">
      <c r="C17" s="4" t="s">
        <v>162</v>
      </c>
      <c r="E17"/>
      <c r="I17" s="184" t="s">
        <v>190</v>
      </c>
      <c r="K17" s="7"/>
    </row>
    <row r="18" spans="3:11" s="3" customFormat="1" ht="18" customHeight="1" thickBot="1">
      <c r="C18" s="178"/>
      <c r="E18"/>
      <c r="I18" s="185" t="s">
        <v>191</v>
      </c>
      <c r="K18" s="7"/>
    </row>
    <row r="19" spans="3:11" ht="13.5" thickBot="1">
      <c r="C19" s="4" t="s">
        <v>163</v>
      </c>
      <c r="I19" s="8"/>
      <c r="J19" s="8"/>
      <c r="K19" s="8"/>
    </row>
    <row r="20" ht="12.75">
      <c r="H20" s="9"/>
    </row>
    <row r="21" spans="5:8" ht="12.75">
      <c r="E21" s="197" t="s">
        <v>1</v>
      </c>
      <c r="F21" s="197"/>
      <c r="G21" s="197"/>
      <c r="H21" s="10"/>
    </row>
    <row r="22" spans="5:7" ht="12.75">
      <c r="E22" s="198" t="s">
        <v>58</v>
      </c>
      <c r="F22" s="198"/>
      <c r="G22" s="198"/>
    </row>
    <row r="24" spans="5:9" ht="12.75">
      <c r="E24" s="172" t="s">
        <v>164</v>
      </c>
      <c r="I24" s="173"/>
    </row>
    <row r="25" ht="12.75">
      <c r="E25" s="1" t="s">
        <v>192</v>
      </c>
    </row>
    <row r="28" ht="12.75"/>
    <row r="29" ht="12.75"/>
  </sheetData>
  <sheetProtection password="EAEA" sheet="1" objects="1" scenarios="1"/>
  <mergeCells count="5">
    <mergeCell ref="E21:G21"/>
    <mergeCell ref="E22:G22"/>
    <mergeCell ref="B2:K2"/>
    <mergeCell ref="B3:K3"/>
    <mergeCell ref="B4:K4"/>
  </mergeCells>
  <hyperlinks>
    <hyperlink ref="I5" location="A조!A1" display="Group A"/>
    <hyperlink ref="K5" location="B조!A1" display="Group B"/>
    <hyperlink ref="I7" location="C조!A1" display="Group C"/>
    <hyperlink ref="K7" location="D조!A1" display="Group D"/>
    <hyperlink ref="I9" location="E조!A1" display="Group E"/>
    <hyperlink ref="K9" location="F조!A1" display="Group F"/>
    <hyperlink ref="I11" location="G조!A1" display="Grupo G"/>
    <hyperlink ref="K11" location="H조!A1" display="Grupo H"/>
    <hyperlink ref="I13" location="'16강전'!A1" display="16강전"/>
    <hyperlink ref="K13" location="'8강전'!A1" display="8강전"/>
    <hyperlink ref="I15" location="'4강전(준결승)'!A1" display="4강전(준결승)"/>
    <hyperlink ref="K15" location="결승전!A1" display="FINAL"/>
    <hyperlink ref="C17" location="Stadium!A1" display="STADIUM"/>
    <hyperlink ref="E22" r:id="rId1" display="http://atersystems.bravehost.com"/>
    <hyperlink ref="C19" location="'Fixture(요약)'!A1" display="Fixtur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tabColor indexed="17"/>
    <pageSetUpPr fitToPage="1"/>
  </sheetPr>
  <dimension ref="A1:T29"/>
  <sheetViews>
    <sheetView showGridLines="0" showRowColHeaders="0" showOutlineSymbols="0" workbookViewId="0" topLeftCell="A1">
      <selection activeCell="Z47" sqref="Z47"/>
    </sheetView>
  </sheetViews>
  <sheetFormatPr defaultColWidth="9.140625" defaultRowHeight="12.75"/>
  <cols>
    <col min="1" max="1" width="2.7109375" style="12" customWidth="1"/>
    <col min="2" max="2" width="14.28125" style="12" customWidth="1"/>
    <col min="3" max="3" width="3.28125" style="12" customWidth="1"/>
    <col min="4" max="4" width="1.7109375" style="12" customWidth="1"/>
    <col min="5" max="5" width="3.421875" style="12" customWidth="1"/>
    <col min="6" max="6" width="14.28125" style="12" customWidth="1"/>
    <col min="7" max="7" width="14.7109375" style="12" customWidth="1"/>
    <col min="8" max="13" width="3.7109375" style="12" customWidth="1"/>
    <col min="14" max="14" width="3.8515625" style="12" customWidth="1"/>
    <col min="15" max="15" width="4.7109375" style="12" customWidth="1"/>
    <col min="16" max="16" width="5.7109375" style="12" customWidth="1"/>
    <col min="17" max="18" width="7.7109375" style="12" customWidth="1"/>
    <col min="19" max="19" width="5.7109375" style="12" customWidth="1"/>
    <col min="20" max="20" width="7.7109375" style="12" customWidth="1"/>
    <col min="21" max="16384" width="11.421875" style="12" customWidth="1"/>
  </cols>
  <sheetData>
    <row r="1" spans="1:20" s="14" customFormat="1" ht="34.5" customHeight="1">
      <c r="A1" s="205" t="s">
        <v>66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13"/>
    </row>
    <row r="2" spans="1:20" s="14" customFormat="1" ht="34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3"/>
    </row>
    <row r="3" spans="7:18" ht="21" customHeight="1">
      <c r="G3" s="16"/>
      <c r="L3" s="17"/>
      <c r="M3" s="18"/>
      <c r="R3" s="16"/>
    </row>
    <row r="4" spans="2:19" ht="12.75" customHeight="1">
      <c r="B4" s="206" t="s">
        <v>78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P4" s="217" t="s">
        <v>74</v>
      </c>
      <c r="Q4" s="217"/>
      <c r="R4" s="217"/>
      <c r="S4" s="217"/>
    </row>
    <row r="5" spans="2:19" ht="12.75" customHeight="1">
      <c r="B5" s="19"/>
      <c r="C5" s="19"/>
      <c r="D5" s="19"/>
      <c r="E5" s="19"/>
      <c r="F5" s="19"/>
      <c r="G5" s="175" t="s">
        <v>123</v>
      </c>
      <c r="H5" s="209" t="s">
        <v>124</v>
      </c>
      <c r="I5" s="209"/>
      <c r="J5" s="210" t="s">
        <v>193</v>
      </c>
      <c r="K5" s="210"/>
      <c r="L5" s="210" t="s">
        <v>125</v>
      </c>
      <c r="M5" s="210"/>
      <c r="P5" s="217"/>
      <c r="Q5" s="217"/>
      <c r="R5" s="217"/>
      <c r="S5" s="217"/>
    </row>
    <row r="6" spans="1:18" ht="14.25" customHeight="1">
      <c r="A6" s="20">
        <f aca="true" t="shared" si="0" ref="A6:A11">IF(OR(L6="finalizado",L6="en juego",L6="hoy!"),"Ø","")</f>
      </c>
      <c r="B6" s="21" t="str">
        <f>Q7</f>
        <v>스페인</v>
      </c>
      <c r="C6" s="22"/>
      <c r="D6" s="23" t="s">
        <v>3</v>
      </c>
      <c r="E6" s="22"/>
      <c r="F6" s="24" t="str">
        <f>Q9</f>
        <v>우크라이나</v>
      </c>
      <c r="G6" s="25" t="s">
        <v>12</v>
      </c>
      <c r="H6" s="211">
        <v>38882</v>
      </c>
      <c r="I6" s="211"/>
      <c r="J6" s="212">
        <v>0.9166666666666666</v>
      </c>
      <c r="K6" s="212"/>
      <c r="L6" s="213">
        <f>IF(OR(H6="",J6="",H6&lt;$Q$24),"",IF(H6=$Q$24,IF(AND(J6&lt;=$R$26,$R$26&lt;=(J6+0.08333333333)),"진행중",IF($R$26&lt;J6,"오늘!","종료")),IF($Q$24&gt;H6,"종료","")))</f>
      </c>
      <c r="M6" s="213"/>
      <c r="R6" s="16"/>
    </row>
    <row r="7" spans="1:19" ht="14.25" customHeight="1">
      <c r="A7" s="20">
        <f t="shared" si="0"/>
      </c>
      <c r="B7" s="21" t="str">
        <f>Q11</f>
        <v>튀니지</v>
      </c>
      <c r="C7" s="22"/>
      <c r="D7" s="23" t="s">
        <v>3</v>
      </c>
      <c r="E7" s="22"/>
      <c r="F7" s="24" t="str">
        <f>Q13</f>
        <v>사우디아라비아</v>
      </c>
      <c r="G7" s="25" t="s">
        <v>4</v>
      </c>
      <c r="H7" s="211">
        <v>38883</v>
      </c>
      <c r="I7" s="211"/>
      <c r="J7" s="212">
        <v>0.041666666666666664</v>
      </c>
      <c r="K7" s="212"/>
      <c r="L7" s="213">
        <f>IF(OR(H7="",J7="",H7&lt;$Q$24),"",IF(H7=$Q$24,IF(AND(J7&lt;=$R$26,$R$26&lt;=(J7+0.08333333333)),"진행중",IF($R$26&lt;J7,"오늘!","종료")),IF($Q$24&gt;H7,"종료","")))</f>
      </c>
      <c r="M7" s="213"/>
      <c r="N7" s="26"/>
      <c r="O7" s="27"/>
      <c r="P7" s="28"/>
      <c r="Q7" s="214" t="s">
        <v>115</v>
      </c>
      <c r="R7" s="215"/>
      <c r="S7" s="28"/>
    </row>
    <row r="8" spans="1:19" ht="14.25" customHeight="1">
      <c r="A8" s="20">
        <f t="shared" si="0"/>
      </c>
      <c r="B8" s="21" t="str">
        <f>Q7</f>
        <v>스페인</v>
      </c>
      <c r="C8" s="22"/>
      <c r="D8" s="23" t="s">
        <v>3</v>
      </c>
      <c r="E8" s="22"/>
      <c r="F8" s="24" t="str">
        <f>Q11</f>
        <v>튀니지</v>
      </c>
      <c r="G8" s="25" t="s">
        <v>13</v>
      </c>
      <c r="H8" s="211">
        <v>38888</v>
      </c>
      <c r="I8" s="211"/>
      <c r="J8" s="212">
        <v>0.16666666666666666</v>
      </c>
      <c r="K8" s="212"/>
      <c r="L8" s="213">
        <f>IF(OR(H8="",J8="",H8&lt;$Q$24),"",IF(H8=$Q$24,IF(AND(J8&lt;=$R$26,$R$26&lt;=(J8+0.08333333333)),"진행중",IF($R$26&lt;J8,"오늘!","종료")),IF($Q$24&gt;H8,"종료","")))</f>
      </c>
      <c r="M8" s="213"/>
      <c r="N8" s="29"/>
      <c r="O8" s="30"/>
      <c r="P8" s="31"/>
      <c r="Q8" s="32"/>
      <c r="R8" s="33"/>
      <c r="S8" s="31"/>
    </row>
    <row r="9" spans="1:19" ht="14.25" customHeight="1">
      <c r="A9" s="20">
        <f t="shared" si="0"/>
      </c>
      <c r="B9" s="21" t="str">
        <f>Q13</f>
        <v>사우디아라비아</v>
      </c>
      <c r="C9" s="22"/>
      <c r="D9" s="23" t="s">
        <v>3</v>
      </c>
      <c r="E9" s="22"/>
      <c r="F9" s="24" t="str">
        <f>Q9</f>
        <v>우크라이나</v>
      </c>
      <c r="G9" s="25" t="s">
        <v>181</v>
      </c>
      <c r="H9" s="211">
        <v>38888</v>
      </c>
      <c r="I9" s="211"/>
      <c r="J9" s="212">
        <v>0.041666666666666664</v>
      </c>
      <c r="K9" s="212"/>
      <c r="L9" s="213">
        <f>IF(OR(H9="",J9="",H9&lt;$Q$24),"",IF(H9=$Q$24,IF(AND(J9&lt;=$R$26,$R$26&lt;=(J9+0.08333333333)),"진행중",IF($R$26&lt;J9,"오늘!","종료")),IF($Q$24&gt;H9,"종료","")))</f>
      </c>
      <c r="M9" s="213"/>
      <c r="P9" s="28"/>
      <c r="Q9" s="214" t="s">
        <v>116</v>
      </c>
      <c r="R9" s="215"/>
      <c r="S9" s="28"/>
    </row>
    <row r="10" spans="1:19" ht="14.25" customHeight="1">
      <c r="A10" s="20">
        <f t="shared" si="0"/>
      </c>
      <c r="B10" s="21" t="str">
        <f>Q13</f>
        <v>사우디아라비아</v>
      </c>
      <c r="C10" s="22"/>
      <c r="D10" s="23" t="s">
        <v>3</v>
      </c>
      <c r="E10" s="22"/>
      <c r="F10" s="24" t="str">
        <f>Q7</f>
        <v>스페인</v>
      </c>
      <c r="G10" s="25" t="s">
        <v>184</v>
      </c>
      <c r="H10" s="211">
        <v>38891</v>
      </c>
      <c r="I10" s="211"/>
      <c r="J10" s="212">
        <v>0.9583333333333334</v>
      </c>
      <c r="K10" s="212"/>
      <c r="L10" s="213">
        <f>IF(OR(H10="",J10="",H10&lt;$Q$24),"",IF(H10=$Q$24,IF(AND(J10&lt;=$R$26,$R$26&lt;=(J10+0.08333333333)),"진행중",IF($R$26&lt;J10,"오늘!","종료")),IF($Q$24&gt;H10,"종료","")))</f>
      </c>
      <c r="M10" s="213"/>
      <c r="P10" s="31"/>
      <c r="Q10" s="32"/>
      <c r="R10" s="33"/>
      <c r="S10" s="31"/>
    </row>
    <row r="11" spans="1:19" ht="14.25" customHeight="1">
      <c r="A11" s="20">
        <f t="shared" si="0"/>
      </c>
      <c r="B11" s="21" t="str">
        <f>Q9</f>
        <v>우크라이나</v>
      </c>
      <c r="C11" s="22"/>
      <c r="D11" s="23" t="s">
        <v>3</v>
      </c>
      <c r="E11" s="22"/>
      <c r="F11" s="24" t="str">
        <f>Q11</f>
        <v>튀니지</v>
      </c>
      <c r="G11" s="25" t="s">
        <v>14</v>
      </c>
      <c r="H11" s="211">
        <v>38891</v>
      </c>
      <c r="I11" s="211"/>
      <c r="J11" s="212">
        <v>0.9583333333333334</v>
      </c>
      <c r="K11" s="212"/>
      <c r="L11" s="213">
        <f>IF(OR(H11="",J11="",H11&lt;$Q$24),"",IF(H11=$Q$24,IF(AND(J11&lt;=$R$26,$R$26&lt;=(J11+0.08333333333)),"진행중",IF($R$26&lt;J11,"오늘!","종료")),IF($Q$24&gt;H11,"종료","")))</f>
      </c>
      <c r="M11" s="213"/>
      <c r="P11" s="28"/>
      <c r="Q11" s="214" t="s">
        <v>117</v>
      </c>
      <c r="R11" s="215"/>
      <c r="S11" s="28"/>
    </row>
    <row r="12" spans="2:19" ht="13.5" customHeight="1">
      <c r="B12" s="34"/>
      <c r="C12" s="35"/>
      <c r="D12" s="36"/>
      <c r="E12" s="35"/>
      <c r="F12" s="19"/>
      <c r="G12" s="37"/>
      <c r="H12" s="36"/>
      <c r="I12" s="38"/>
      <c r="J12" s="17"/>
      <c r="K12" s="39"/>
      <c r="L12" s="40"/>
      <c r="M12" s="40"/>
      <c r="P12" s="31"/>
      <c r="Q12" s="32"/>
      <c r="R12" s="33"/>
      <c r="S12" s="31"/>
    </row>
    <row r="13" spans="2:19" ht="13.5" customHeight="1">
      <c r="B13" s="34"/>
      <c r="C13" s="35"/>
      <c r="D13" s="36"/>
      <c r="E13" s="35"/>
      <c r="F13" s="19"/>
      <c r="G13" s="37"/>
      <c r="H13" s="36"/>
      <c r="I13" s="36"/>
      <c r="J13" s="17"/>
      <c r="K13" s="41"/>
      <c r="L13" s="40"/>
      <c r="M13" s="40"/>
      <c r="P13" s="28"/>
      <c r="Q13" s="214" t="s">
        <v>118</v>
      </c>
      <c r="R13" s="215"/>
      <c r="S13" s="28"/>
    </row>
    <row r="14" spans="2:18" ht="13.5" customHeight="1">
      <c r="B14" s="34"/>
      <c r="C14" s="35"/>
      <c r="D14" s="36"/>
      <c r="E14" s="35"/>
      <c r="F14" s="19"/>
      <c r="G14" s="37"/>
      <c r="H14" s="36"/>
      <c r="I14" s="36"/>
      <c r="J14" s="17"/>
      <c r="K14" s="41"/>
      <c r="L14" s="40"/>
      <c r="M14" s="40"/>
      <c r="Q14" s="43"/>
      <c r="R14" s="65"/>
    </row>
    <row r="15" spans="7:18" ht="12.75">
      <c r="G15" s="206" t="s">
        <v>79</v>
      </c>
      <c r="H15" s="207"/>
      <c r="I15" s="207"/>
      <c r="J15" s="207"/>
      <c r="K15" s="207"/>
      <c r="L15" s="207"/>
      <c r="M15" s="207"/>
      <c r="N15" s="207"/>
      <c r="O15" s="207"/>
      <c r="R15" s="16"/>
    </row>
    <row r="16" spans="7:18" ht="12.75">
      <c r="G16" s="45"/>
      <c r="H16" s="167" t="s">
        <v>87</v>
      </c>
      <c r="I16" s="167" t="s">
        <v>80</v>
      </c>
      <c r="J16" s="167" t="s">
        <v>81</v>
      </c>
      <c r="K16" s="167" t="s">
        <v>82</v>
      </c>
      <c r="L16" s="167" t="s">
        <v>83</v>
      </c>
      <c r="M16" s="167" t="s">
        <v>84</v>
      </c>
      <c r="N16" s="167" t="s">
        <v>85</v>
      </c>
      <c r="O16" s="167" t="s">
        <v>86</v>
      </c>
      <c r="R16" s="16"/>
    </row>
    <row r="17" spans="6:19" ht="12.75">
      <c r="F17" s="46" t="s">
        <v>186</v>
      </c>
      <c r="G17" s="47" t="str">
        <f>calculoH!F52</f>
        <v>스페인</v>
      </c>
      <c r="H17" s="24">
        <f>calculoH!G52</f>
        <v>0</v>
      </c>
      <c r="I17" s="24">
        <f>calculoH!H52</f>
        <v>0</v>
      </c>
      <c r="J17" s="24">
        <f>calculoH!I52</f>
        <v>0</v>
      </c>
      <c r="K17" s="24">
        <f>calculoH!J52</f>
        <v>0</v>
      </c>
      <c r="L17" s="24">
        <f>calculoH!K52</f>
        <v>0</v>
      </c>
      <c r="M17" s="24">
        <f>calculoH!L52</f>
        <v>0</v>
      </c>
      <c r="N17" s="24">
        <f>L17-M17</f>
        <v>0</v>
      </c>
      <c r="O17" s="24">
        <f>calculoH!M52</f>
        <v>0</v>
      </c>
      <c r="P17" s="48"/>
      <c r="Q17" s="49"/>
      <c r="R17" s="50"/>
      <c r="S17" s="49"/>
    </row>
    <row r="18" spans="6:19" ht="12.75">
      <c r="F18" s="46" t="s">
        <v>186</v>
      </c>
      <c r="G18" s="47" t="str">
        <f>calculoH!F53</f>
        <v>우크라이나</v>
      </c>
      <c r="H18" s="24">
        <f>calculoH!G53</f>
        <v>0</v>
      </c>
      <c r="I18" s="24">
        <f>calculoH!H53</f>
        <v>0</v>
      </c>
      <c r="J18" s="24">
        <f>calculoH!I53</f>
        <v>0</v>
      </c>
      <c r="K18" s="24">
        <f>calculoH!J53</f>
        <v>0</v>
      </c>
      <c r="L18" s="24">
        <f>calculoH!K53</f>
        <v>0</v>
      </c>
      <c r="M18" s="24">
        <f>calculoH!L53</f>
        <v>0</v>
      </c>
      <c r="N18" s="24">
        <f>L18-M18</f>
        <v>0</v>
      </c>
      <c r="O18" s="24">
        <f>calculoH!M53</f>
        <v>0</v>
      </c>
      <c r="P18" s="48"/>
      <c r="Q18" s="49"/>
      <c r="R18" s="50"/>
      <c r="S18" s="49"/>
    </row>
    <row r="19" spans="6:19" ht="12.75">
      <c r="F19" s="49"/>
      <c r="G19" s="47" t="str">
        <f>calculoH!F54</f>
        <v>튀니지</v>
      </c>
      <c r="H19" s="24">
        <f>calculoH!G54</f>
        <v>0</v>
      </c>
      <c r="I19" s="24">
        <f>calculoH!H54</f>
        <v>0</v>
      </c>
      <c r="J19" s="24">
        <f>calculoH!I54</f>
        <v>0</v>
      </c>
      <c r="K19" s="24">
        <f>calculoH!J54</f>
        <v>0</v>
      </c>
      <c r="L19" s="24">
        <f>calculoH!K54</f>
        <v>0</v>
      </c>
      <c r="M19" s="24">
        <f>calculoH!L54</f>
        <v>0</v>
      </c>
      <c r="N19" s="24">
        <f>L19-M19</f>
        <v>0</v>
      </c>
      <c r="O19" s="24">
        <f>calculoH!M54</f>
        <v>0</v>
      </c>
      <c r="P19" s="51"/>
      <c r="Q19" s="49"/>
      <c r="R19" s="50"/>
      <c r="S19" s="49"/>
    </row>
    <row r="20" spans="6:19" ht="12.75">
      <c r="F20" s="49"/>
      <c r="G20" s="47" t="str">
        <f>calculoH!F55</f>
        <v>사우디아라비아</v>
      </c>
      <c r="H20" s="24">
        <f>calculoH!G55</f>
        <v>0</v>
      </c>
      <c r="I20" s="24">
        <f>calculoH!H55</f>
        <v>0</v>
      </c>
      <c r="J20" s="24">
        <f>calculoH!I55</f>
        <v>0</v>
      </c>
      <c r="K20" s="24">
        <f>calculoH!J55</f>
        <v>0</v>
      </c>
      <c r="L20" s="24">
        <f>calculoH!K55</f>
        <v>0</v>
      </c>
      <c r="M20" s="24">
        <f>calculoH!L55</f>
        <v>0</v>
      </c>
      <c r="N20" s="24">
        <f>L20-M20</f>
        <v>0</v>
      </c>
      <c r="O20" s="24">
        <f>calculoH!M55</f>
        <v>0</v>
      </c>
      <c r="P20" s="51"/>
      <c r="Q20" s="51"/>
      <c r="R20" s="52"/>
      <c r="S20" s="51"/>
    </row>
    <row r="21" spans="14:19" ht="12.75">
      <c r="N21" s="53"/>
      <c r="O21" s="53"/>
      <c r="P21" s="53"/>
      <c r="Q21" s="53"/>
      <c r="R21" s="54"/>
      <c r="S21" s="53"/>
    </row>
    <row r="22" spans="14:19" ht="11.25" customHeight="1">
      <c r="N22" s="53"/>
      <c r="O22" s="53"/>
      <c r="P22" s="53"/>
      <c r="Q22" s="53"/>
      <c r="R22" s="54"/>
      <c r="S22" s="53"/>
    </row>
    <row r="23" spans="14:19" ht="9" customHeight="1">
      <c r="N23" s="53"/>
      <c r="O23" s="53"/>
      <c r="P23" s="53"/>
      <c r="R23" s="55"/>
      <c r="S23" s="53"/>
    </row>
    <row r="24" spans="2:19" ht="12.75">
      <c r="B24" s="56"/>
      <c r="C24" s="57"/>
      <c r="N24" s="58"/>
      <c r="O24" s="58"/>
      <c r="P24" s="171" t="s">
        <v>120</v>
      </c>
      <c r="Q24" s="169">
        <f ca="1">TODAY()</f>
        <v>38864</v>
      </c>
      <c r="R24" s="170">
        <f ca="1">NOW()</f>
        <v>38864.779269907405</v>
      </c>
      <c r="S24" s="59"/>
    </row>
    <row r="25" spans="1:20" ht="12.75" hidden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2">
        <f>HOUR(R24)</f>
        <v>18</v>
      </c>
      <c r="R25" s="62">
        <f>MINUTE(R24)</f>
        <v>42</v>
      </c>
      <c r="S25" s="63"/>
      <c r="T25" s="60"/>
    </row>
    <row r="26" spans="2:20" ht="12.75" hidden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0"/>
      <c r="Q26" s="62"/>
      <c r="R26" s="64">
        <f>TIME(Q25,R25,0)</f>
        <v>0.7791666666666667</v>
      </c>
      <c r="S26" s="63"/>
      <c r="T26" s="60"/>
    </row>
    <row r="27" spans="14:19" ht="12.75">
      <c r="N27" s="53"/>
      <c r="O27" s="53"/>
      <c r="P27" s="53"/>
      <c r="Q27" s="59"/>
      <c r="R27" s="59"/>
      <c r="S27" s="59"/>
    </row>
    <row r="28" spans="14:19" ht="12.75">
      <c r="N28" s="53"/>
      <c r="O28" s="53"/>
      <c r="P28" s="53"/>
      <c r="Q28" s="216" t="s">
        <v>189</v>
      </c>
      <c r="R28" s="216" t="s">
        <v>2</v>
      </c>
      <c r="S28" s="59"/>
    </row>
    <row r="29" spans="14:19" ht="12.75">
      <c r="N29" s="53"/>
      <c r="O29" s="53"/>
      <c r="P29" s="53"/>
      <c r="Q29" s="59"/>
      <c r="R29" s="59"/>
      <c r="S29" s="59"/>
    </row>
  </sheetData>
  <sheetProtection password="F52A" sheet="1" objects="1" scenarios="1"/>
  <mergeCells count="30">
    <mergeCell ref="Q11:R11"/>
    <mergeCell ref="Q13:R13"/>
    <mergeCell ref="G15:O15"/>
    <mergeCell ref="Q28:R28"/>
    <mergeCell ref="H10:I10"/>
    <mergeCell ref="J10:K10"/>
    <mergeCell ref="L10:M10"/>
    <mergeCell ref="H11:I11"/>
    <mergeCell ref="J11:K11"/>
    <mergeCell ref="L11:M11"/>
    <mergeCell ref="H9:I9"/>
    <mergeCell ref="J9:K9"/>
    <mergeCell ref="L9:M9"/>
    <mergeCell ref="Q9:R9"/>
    <mergeCell ref="Q7:R7"/>
    <mergeCell ref="H8:I8"/>
    <mergeCell ref="J8:K8"/>
    <mergeCell ref="L8:M8"/>
    <mergeCell ref="H6:I6"/>
    <mergeCell ref="J6:K6"/>
    <mergeCell ref="L6:M6"/>
    <mergeCell ref="H7:I7"/>
    <mergeCell ref="J7:K7"/>
    <mergeCell ref="L7:M7"/>
    <mergeCell ref="A1:S2"/>
    <mergeCell ref="B4:M4"/>
    <mergeCell ref="P4:S5"/>
    <mergeCell ref="H5:I5"/>
    <mergeCell ref="J5:K5"/>
    <mergeCell ref="L5:M5"/>
  </mergeCells>
  <conditionalFormatting sqref="F17:F18">
    <cfRule type="expression" priority="1" dxfId="0" stopIfTrue="1">
      <formula>IF(AND($H$17=3,$H$18=3,$H$19=3,$H$20=3),1,0)</formula>
    </cfRule>
  </conditionalFormatting>
  <conditionalFormatting sqref="G17:O18">
    <cfRule type="expression" priority="2" dxfId="1" stopIfTrue="1">
      <formula>IF(AND($H$17=3,$H$18=3,$H$19=3,$H$20=3),1,0)</formula>
    </cfRule>
  </conditionalFormatting>
  <conditionalFormatting sqref="B7:G7 J7:K7">
    <cfRule type="expression" priority="3" dxfId="1" stopIfTrue="1">
      <formula>IF(OR($L$7="en juego",$L$7="hoy!"),1,0)</formula>
    </cfRule>
  </conditionalFormatting>
  <conditionalFormatting sqref="B6:G6 H6:I7 J6:M6 L7:M11">
    <cfRule type="expression" priority="4" dxfId="1" stopIfTrue="1">
      <formula>IF(OR($L$6="en juego",$L$6="hoy!"),1,0)</formula>
    </cfRule>
  </conditionalFormatting>
  <conditionalFormatting sqref="B8:G8 H8:I9 J8:K8">
    <cfRule type="expression" priority="5" dxfId="1" stopIfTrue="1">
      <formula>IF(OR($L$8="en juego",$L$8="hoy!"),1,0)</formula>
    </cfRule>
  </conditionalFormatting>
  <conditionalFormatting sqref="J9:K11 B9:G9">
    <cfRule type="expression" priority="6" dxfId="1" stopIfTrue="1">
      <formula>IF(OR($L$9="en juego",$L$9="hoy!"),1,0)</formula>
    </cfRule>
  </conditionalFormatting>
  <conditionalFormatting sqref="H10:I11 B10:G10">
    <cfRule type="expression" priority="7" dxfId="1" stopIfTrue="1">
      <formula>IF(OR($L$10="en juego",$L$10="hoy!"),1,0)</formula>
    </cfRule>
  </conditionalFormatting>
  <conditionalFormatting sqref="B11:G11">
    <cfRule type="expression" priority="8" dxfId="1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" location="Portada!A1" display="Menu Principal"/>
    <hyperlink ref="R28" location="Portada!A1" display="#Portada.A1"/>
    <hyperlink ref="Q28:R28" location="Menu!A1" display="Menu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>
    <tabColor indexed="17"/>
  </sheetPr>
  <dimension ref="A1:X167"/>
  <sheetViews>
    <sheetView showGridLines="0" showRowColHeaders="0" showOutlineSymbols="0" workbookViewId="0" topLeftCell="A1">
      <pane ySplit="5" topLeftCell="BM6" activePane="bottomLeft" state="frozen"/>
      <selection pane="topLeft" activeCell="I39" sqref="I39"/>
      <selection pane="bottomLeft" activeCell="X48" sqref="X48"/>
    </sheetView>
  </sheetViews>
  <sheetFormatPr defaultColWidth="9.140625" defaultRowHeight="12.75"/>
  <cols>
    <col min="1" max="1" width="1.7109375" style="49" customWidth="1"/>
    <col min="2" max="2" width="11.140625" style="49" customWidth="1"/>
    <col min="3" max="4" width="6.7109375" style="49" customWidth="1"/>
    <col min="5" max="5" width="14.7109375" style="49" customWidth="1"/>
    <col min="6" max="6" width="3.7109375" style="49" customWidth="1"/>
    <col min="7" max="7" width="2.00390625" style="49" customWidth="1"/>
    <col min="8" max="8" width="6.57421875" style="49" customWidth="1"/>
    <col min="9" max="9" width="11.7109375" style="49" customWidth="1"/>
    <col min="10" max="10" width="15.7109375" style="49" customWidth="1"/>
    <col min="11" max="11" width="4.7109375" style="49" customWidth="1"/>
    <col min="12" max="12" width="7.7109375" style="49" customWidth="1"/>
    <col min="13" max="13" width="5.421875" style="49" customWidth="1"/>
    <col min="14" max="14" width="1.7109375" style="49" customWidth="1"/>
    <col min="15" max="15" width="11.421875" style="49" customWidth="1"/>
    <col min="16" max="17" width="0" style="49" hidden="1" customWidth="1"/>
    <col min="18" max="16384" width="11.421875" style="49" customWidth="1"/>
  </cols>
  <sheetData>
    <row r="1" spans="1:24" s="73" customFormat="1" ht="34.5" customHeight="1">
      <c r="A1" s="205" t="s">
        <v>156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70"/>
      <c r="Q1" s="70"/>
      <c r="R1" s="70"/>
      <c r="S1" s="70"/>
      <c r="T1" s="71"/>
      <c r="U1" s="71"/>
      <c r="V1" s="72"/>
      <c r="W1" s="72"/>
      <c r="X1" s="72"/>
    </row>
    <row r="2" spans="1:24" s="73" customFormat="1" ht="34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70"/>
      <c r="Q2" s="70"/>
      <c r="R2" s="70"/>
      <c r="S2" s="70"/>
      <c r="T2" s="71"/>
      <c r="U2" s="71"/>
      <c r="V2" s="72"/>
      <c r="W2" s="72"/>
      <c r="X2" s="72"/>
    </row>
    <row r="3" spans="1:24" ht="15" customHeight="1">
      <c r="A3" s="32"/>
      <c r="B3" s="32"/>
      <c r="C3" s="32"/>
      <c r="D3" s="32"/>
      <c r="E3" s="74"/>
      <c r="F3" s="33"/>
      <c r="G3" s="32"/>
      <c r="H3" s="32"/>
      <c r="I3" s="32"/>
      <c r="J3" s="32"/>
      <c r="K3" s="32"/>
      <c r="L3" s="75"/>
      <c r="M3" s="76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2.75" customHeight="1">
      <c r="A4" s="32"/>
      <c r="B4" s="32"/>
      <c r="C4" s="32"/>
      <c r="D4" s="32"/>
      <c r="E4" s="77"/>
      <c r="F4" s="76"/>
      <c r="G4" s="32"/>
      <c r="H4" s="32"/>
      <c r="I4" s="32"/>
      <c r="J4" s="32"/>
      <c r="K4" s="32"/>
      <c r="L4" s="174">
        <f ca="1">TODAY()</f>
        <v>38864</v>
      </c>
      <c r="M4" s="78">
        <f ca="1">NOW()</f>
        <v>38864.779269907405</v>
      </c>
      <c r="N4" s="32"/>
      <c r="O4" s="79" t="s">
        <v>177</v>
      </c>
      <c r="P4" s="32"/>
      <c r="Q4" s="32"/>
      <c r="R4" s="32"/>
      <c r="S4" s="32"/>
      <c r="T4" s="32"/>
      <c r="U4" s="32"/>
      <c r="V4" s="32"/>
      <c r="W4" s="32"/>
      <c r="X4" s="32"/>
    </row>
    <row r="5" spans="1:24" ht="12" customHeight="1">
      <c r="A5" s="32"/>
      <c r="B5" s="218" t="s">
        <v>194</v>
      </c>
      <c r="C5" s="219"/>
      <c r="D5" s="219"/>
      <c r="E5" s="218" t="s">
        <v>119</v>
      </c>
      <c r="F5" s="219"/>
      <c r="G5" s="220" t="s">
        <v>195</v>
      </c>
      <c r="H5" s="220"/>
      <c r="I5" s="81"/>
      <c r="J5" s="80" t="s">
        <v>126</v>
      </c>
      <c r="K5" s="32"/>
      <c r="L5" s="8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ht="15" customHeight="1">
      <c r="A6" s="83"/>
      <c r="B6" s="84"/>
      <c r="C6" s="84"/>
      <c r="D6" s="84"/>
      <c r="E6" s="84"/>
      <c r="F6" s="84"/>
      <c r="G6" s="84"/>
      <c r="H6" s="84"/>
      <c r="I6" s="84"/>
      <c r="J6" s="84"/>
      <c r="K6" s="32"/>
      <c r="L6" s="32"/>
      <c r="M6" s="32"/>
      <c r="N6" s="32"/>
      <c r="O6" s="32"/>
      <c r="P6" s="32" t="s">
        <v>15</v>
      </c>
      <c r="Q6" s="32">
        <f>SUM(A조!$H$17:$H$20)</f>
        <v>0</v>
      </c>
      <c r="R6" s="32"/>
      <c r="S6" s="32"/>
      <c r="T6" s="32"/>
      <c r="U6" s="32"/>
      <c r="V6" s="32"/>
      <c r="W6" s="32"/>
      <c r="X6" s="32"/>
    </row>
    <row r="7" spans="1:24" ht="12" customHeight="1">
      <c r="A7" s="83"/>
      <c r="B7" s="84"/>
      <c r="C7" s="84"/>
      <c r="D7" s="84"/>
      <c r="E7" s="85" t="str">
        <f>IF(A조!H17=0,"A조 1위",A조!G17)</f>
        <v>A조 1위</v>
      </c>
      <c r="F7" s="86"/>
      <c r="G7" s="87"/>
      <c r="H7" s="88"/>
      <c r="I7" s="84"/>
      <c r="J7" s="84"/>
      <c r="K7" s="32"/>
      <c r="L7" s="32"/>
      <c r="M7" s="32"/>
      <c r="N7" s="32"/>
      <c r="O7" s="32"/>
      <c r="P7" s="32" t="s">
        <v>16</v>
      </c>
      <c r="Q7" s="32">
        <f>SUM(B조!$H$17:$H$20)</f>
        <v>0</v>
      </c>
      <c r="R7" s="32"/>
      <c r="S7" s="32"/>
      <c r="T7" s="32"/>
      <c r="U7" s="32"/>
      <c r="V7" s="32"/>
      <c r="W7" s="32"/>
      <c r="X7" s="32"/>
    </row>
    <row r="8" spans="1:24" ht="12" customHeight="1">
      <c r="A8" s="89" t="str">
        <f>IF(OR(E8="en juego",E8="hoy!",E8="finalizado"),"  -&gt;     1","1")</f>
        <v>1</v>
      </c>
      <c r="B8" s="90" t="s">
        <v>4</v>
      </c>
      <c r="C8" s="179">
        <v>38893</v>
      </c>
      <c r="D8" s="92">
        <v>0</v>
      </c>
      <c r="E8" s="93">
        <f>IF(OR(C8="",D8="",C8&lt;$L$4),"",IF(C8=$L$4,IF(AND(D8&lt;=$S$27,$S$27&lt;=(D8+0.08333333333)),"en juego",IF($S$27&lt;D8,"hoy!","finalizado")),IF($L$4&gt;C8,"finalizado","")))</f>
      </c>
      <c r="F8" s="94"/>
      <c r="G8" s="95"/>
      <c r="H8" s="96"/>
      <c r="I8" s="97"/>
      <c r="J8" s="98" t="str">
        <f>IF(OR(F7="",F9="",AND(F7=F9,OR(G7="",G9=""))),"OF1",IF(F7=F9,IF(G7&gt;G9,E7,E9),IF(F7&gt;F9,E7,E9)))</f>
        <v>OF1</v>
      </c>
      <c r="K8" s="32"/>
      <c r="L8" s="32"/>
      <c r="M8" s="32"/>
      <c r="N8" s="32"/>
      <c r="O8" s="32"/>
      <c r="P8" s="32" t="s">
        <v>17</v>
      </c>
      <c r="Q8" s="32">
        <f>SUM(C조!$H$17:$H$20)</f>
        <v>0</v>
      </c>
      <c r="R8" s="32"/>
      <c r="S8" s="32"/>
      <c r="T8" s="32"/>
      <c r="U8" s="32"/>
      <c r="V8" s="32"/>
      <c r="W8" s="32"/>
      <c r="X8" s="32"/>
    </row>
    <row r="9" spans="1:24" ht="12" customHeight="1">
      <c r="A9" s="83"/>
      <c r="B9" s="180"/>
      <c r="C9" s="181"/>
      <c r="D9" s="181"/>
      <c r="E9" s="85" t="str">
        <f>IF(B조!H18=0,"B조 2위",B조!G18)</f>
        <v>B조 2위</v>
      </c>
      <c r="F9" s="86"/>
      <c r="G9" s="99"/>
      <c r="H9" s="100"/>
      <c r="I9" s="84"/>
      <c r="J9" s="84"/>
      <c r="K9" s="32"/>
      <c r="L9" s="32"/>
      <c r="M9" s="32"/>
      <c r="N9" s="32"/>
      <c r="O9" s="32"/>
      <c r="P9" s="32" t="s">
        <v>18</v>
      </c>
      <c r="Q9" s="32">
        <f>SUM(D조!$H$17:$H$20)</f>
        <v>0</v>
      </c>
      <c r="R9" s="32"/>
      <c r="S9" s="32"/>
      <c r="T9" s="32"/>
      <c r="U9" s="32"/>
      <c r="V9" s="32"/>
      <c r="W9" s="32"/>
      <c r="X9" s="32"/>
    </row>
    <row r="10" spans="1:24" ht="15" customHeight="1">
      <c r="A10" s="83"/>
      <c r="B10" s="180"/>
      <c r="C10" s="181"/>
      <c r="D10" s="181"/>
      <c r="E10" s="84"/>
      <c r="F10" s="94"/>
      <c r="G10" s="84"/>
      <c r="H10" s="84"/>
      <c r="I10" s="84"/>
      <c r="J10" s="84"/>
      <c r="K10" s="32"/>
      <c r="L10" s="32"/>
      <c r="M10" s="32"/>
      <c r="N10" s="32"/>
      <c r="O10" s="32"/>
      <c r="P10" s="32" t="s">
        <v>9</v>
      </c>
      <c r="Q10" s="32">
        <f>SUM(E조!$H$17:$H$20)</f>
        <v>0</v>
      </c>
      <c r="R10" s="32"/>
      <c r="S10" s="32"/>
      <c r="T10" s="32"/>
      <c r="U10" s="32"/>
      <c r="V10" s="32"/>
      <c r="W10" s="32"/>
      <c r="X10" s="32"/>
    </row>
    <row r="11" spans="1:24" ht="12" customHeight="1">
      <c r="A11" s="83"/>
      <c r="B11" s="180"/>
      <c r="C11" s="91"/>
      <c r="D11" s="181"/>
      <c r="E11" s="85" t="str">
        <f>IF(C조!H17=0,"C조 1위",C조!G17)</f>
        <v>C조 1위</v>
      </c>
      <c r="F11" s="86"/>
      <c r="G11" s="87"/>
      <c r="H11" s="88"/>
      <c r="I11" s="84"/>
      <c r="J11" s="84"/>
      <c r="K11" s="32"/>
      <c r="L11" s="32"/>
      <c r="M11" s="32"/>
      <c r="N11" s="32"/>
      <c r="O11" s="32"/>
      <c r="P11" s="32" t="s">
        <v>19</v>
      </c>
      <c r="Q11" s="32">
        <f>SUM(F조!$H$17:$H$20)</f>
        <v>0</v>
      </c>
      <c r="R11" s="32"/>
      <c r="S11" s="32"/>
      <c r="T11" s="32"/>
      <c r="U11" s="32"/>
      <c r="V11" s="32"/>
      <c r="W11" s="32"/>
      <c r="X11" s="32"/>
    </row>
    <row r="12" spans="1:24" ht="12" customHeight="1">
      <c r="A12" s="89" t="str">
        <f>IF(OR(E12="en juego",E12="hoy!",E12="finalizado"),"  -&gt;     2","2")</f>
        <v>2</v>
      </c>
      <c r="B12" s="90" t="s">
        <v>12</v>
      </c>
      <c r="C12" s="179">
        <v>38893</v>
      </c>
      <c r="D12" s="92">
        <v>0.16666666666666666</v>
      </c>
      <c r="E12" s="93">
        <f>IF(OR(C12="",D12="",C12&lt;$L$4),"",IF(C12=$L$4,IF(AND(D12&lt;=$S$27,$S$27&lt;=(D12+0.08333333333)),"en juego",IF($S$27&lt;D12,"hoy!","finalizado")),IF($L$4&gt;C12,"finalizado","")))</f>
      </c>
      <c r="F12" s="94"/>
      <c r="G12" s="95"/>
      <c r="H12" s="96"/>
      <c r="I12" s="97"/>
      <c r="J12" s="98" t="str">
        <f>IF(OR(F11="",F13="",AND(F11=F13,OR(G11="",G13=""))),"OF2",IF(F11=F13,IF(G11&gt;G13,E11,E13),IF(F11&gt;F13,E11,E13)))</f>
        <v>OF2</v>
      </c>
      <c r="K12" s="32"/>
      <c r="L12" s="32"/>
      <c r="M12" s="32"/>
      <c r="N12" s="32"/>
      <c r="O12" s="32"/>
      <c r="P12" s="32" t="s">
        <v>8</v>
      </c>
      <c r="Q12" s="32">
        <f>SUM(G조!$H$17:$H$20)</f>
        <v>0</v>
      </c>
      <c r="R12" s="32"/>
      <c r="S12" s="32"/>
      <c r="T12" s="32"/>
      <c r="U12" s="32"/>
      <c r="V12" s="32"/>
      <c r="W12" s="32"/>
      <c r="X12" s="32"/>
    </row>
    <row r="13" spans="1:24" ht="12" customHeight="1">
      <c r="A13" s="83"/>
      <c r="B13" s="180"/>
      <c r="C13" s="181"/>
      <c r="D13" s="181"/>
      <c r="E13" s="85" t="str">
        <f>IF(D조!H18=0,"D조 2위",D조!G18)</f>
        <v>D조 2위</v>
      </c>
      <c r="F13" s="86"/>
      <c r="G13" s="99"/>
      <c r="H13" s="100"/>
      <c r="I13" s="84"/>
      <c r="J13" s="84"/>
      <c r="K13" s="32"/>
      <c r="L13" s="32"/>
      <c r="M13" s="32"/>
      <c r="N13" s="32"/>
      <c r="O13" s="32"/>
      <c r="P13" s="32" t="s">
        <v>20</v>
      </c>
      <c r="Q13" s="32">
        <f>SUM(H조!$H$17:$H$20)</f>
        <v>0</v>
      </c>
      <c r="R13" s="32"/>
      <c r="S13" s="32"/>
      <c r="T13" s="32"/>
      <c r="U13" s="32"/>
      <c r="V13" s="32"/>
      <c r="W13" s="32"/>
      <c r="X13" s="32"/>
    </row>
    <row r="14" spans="1:24" ht="15" customHeight="1">
      <c r="A14" s="83"/>
      <c r="B14" s="180"/>
      <c r="C14" s="181"/>
      <c r="D14" s="181"/>
      <c r="E14" s="84"/>
      <c r="F14" s="94"/>
      <c r="G14" s="84"/>
      <c r="H14" s="84"/>
      <c r="I14" s="84"/>
      <c r="J14" s="84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12" customHeight="1">
      <c r="A15" s="83"/>
      <c r="B15" s="180"/>
      <c r="C15" s="181"/>
      <c r="D15" s="181"/>
      <c r="E15" s="85" t="str">
        <f>IF(B조!H17=0,"B조 1위",B조!G17)</f>
        <v>B조 1위</v>
      </c>
      <c r="F15" s="86"/>
      <c r="G15" s="87"/>
      <c r="H15" s="88"/>
      <c r="I15" s="84"/>
      <c r="J15" s="84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12" customHeight="1">
      <c r="A16" s="89" t="str">
        <f>IF(OR(E16="en juego",E16="hoy!",E16="finalizado"),"  -&gt;     3","3")</f>
        <v>3</v>
      </c>
      <c r="B16" s="90" t="s">
        <v>13</v>
      </c>
      <c r="C16" s="179">
        <v>38894</v>
      </c>
      <c r="D16" s="92">
        <v>0</v>
      </c>
      <c r="E16" s="93">
        <f>IF(OR(C16="",D16="",C16&lt;$L$4),"",IF(C16=$L$4,IF(AND(D16&lt;=$S$27,$S$27&lt;=(D16+0.08333333333)),"en juego",IF($S$27&lt;D16,"hoy!","finalizado")),IF($L$4&gt;C16,"finalizado","")))</f>
      </c>
      <c r="F16" s="94"/>
      <c r="G16" s="95"/>
      <c r="H16" s="96"/>
      <c r="I16" s="97"/>
      <c r="J16" s="98" t="str">
        <f>IF(OR(F15="",F17="",AND(F15=F17,OR(G15="",G17=""))),"OF3",IF(F15=F17,IF(G15&gt;G17,E15,E17),IF(F15&gt;F17,E15,E17)))</f>
        <v>OF3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ht="12" customHeight="1">
      <c r="A17" s="83"/>
      <c r="B17" s="180"/>
      <c r="C17" s="181"/>
      <c r="D17" s="181"/>
      <c r="E17" s="85" t="str">
        <f>IF(A조!H18=0,"A조 2위",A조!G18)</f>
        <v>A조 2위</v>
      </c>
      <c r="F17" s="86"/>
      <c r="G17" s="99"/>
      <c r="H17" s="100"/>
      <c r="I17" s="84"/>
      <c r="J17" s="84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15" customHeight="1">
      <c r="A18" s="83"/>
      <c r="B18" s="180"/>
      <c r="C18" s="181"/>
      <c r="D18" s="181"/>
      <c r="E18" s="84"/>
      <c r="F18" s="94"/>
      <c r="G18" s="84"/>
      <c r="H18" s="84"/>
      <c r="I18" s="84"/>
      <c r="J18" s="84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12" customHeight="1">
      <c r="A19" s="83"/>
      <c r="B19" s="180"/>
      <c r="C19" s="181"/>
      <c r="D19" s="181"/>
      <c r="E19" s="85" t="str">
        <f>IF(D조!H17=0,"D조 1위",D조!G17)</f>
        <v>D조 1위</v>
      </c>
      <c r="F19" s="86"/>
      <c r="G19" s="87"/>
      <c r="H19" s="88"/>
      <c r="I19" s="84"/>
      <c r="J19" s="84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12" customHeight="1">
      <c r="A20" s="89" t="str">
        <f>IF(OR(E20="en juego",E20="hoy!",E20="finalizado"),"  -&gt;     4","4")</f>
        <v>4</v>
      </c>
      <c r="B20" s="90" t="s">
        <v>11</v>
      </c>
      <c r="C20" s="179">
        <v>38894</v>
      </c>
      <c r="D20" s="92">
        <v>0.16666666666666666</v>
      </c>
      <c r="E20" s="93">
        <f>IF(OR(C20="",D20="",C20&lt;$L$4),"",IF(C20=$L$4,IF(AND(D20&lt;=$S$27,$S$27&lt;=(D20+0.08333333333)),"en juego",IF($S$27&lt;D20,"hoy!","finalizado")),IF($L$4&gt;C20,"finalizado","")))</f>
      </c>
      <c r="F20" s="94"/>
      <c r="G20" s="95"/>
      <c r="H20" s="96"/>
      <c r="I20" s="97"/>
      <c r="J20" s="98" t="str">
        <f>IF(OR(F19="",F21="",AND(F19=F21,OR(G19="",G21=""))),"OF4",IF(F19=F21,IF(G19&gt;G21,E19,E21),IF(F19&gt;F21,E19,E21)))</f>
        <v>OF4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2" customHeight="1">
      <c r="A21" s="83"/>
      <c r="B21" s="180"/>
      <c r="C21" s="181"/>
      <c r="D21" s="181"/>
      <c r="E21" s="85" t="str">
        <f>IF(C조!H18=0,"C조 2위",C조!G18)</f>
        <v>C조 2위</v>
      </c>
      <c r="F21" s="86"/>
      <c r="G21" s="99"/>
      <c r="H21" s="100"/>
      <c r="I21" s="84"/>
      <c r="J21" s="84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5" customHeight="1">
      <c r="A22" s="83"/>
      <c r="B22" s="180"/>
      <c r="C22" s="181"/>
      <c r="D22" s="181"/>
      <c r="E22" s="84"/>
      <c r="F22" s="94"/>
      <c r="G22" s="84"/>
      <c r="H22" s="84"/>
      <c r="I22" s="84"/>
      <c r="J22" s="84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12" customHeight="1">
      <c r="A23" s="83"/>
      <c r="B23" s="180"/>
      <c r="C23" s="181"/>
      <c r="D23" s="181"/>
      <c r="E23" s="85" t="str">
        <f>IF(E조!H17=0,"E조 1위",E조!G17)</f>
        <v>E조 1위</v>
      </c>
      <c r="F23" s="86"/>
      <c r="G23" s="87"/>
      <c r="H23" s="88"/>
      <c r="I23" s="84"/>
      <c r="J23" s="84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12" customHeight="1">
      <c r="A24" s="89" t="str">
        <f>IF(OR(E24="en juego",E24="hoy!",E24="finalizado"),"  -&gt;     5","5")</f>
        <v>5</v>
      </c>
      <c r="B24" s="90" t="s">
        <v>185</v>
      </c>
      <c r="C24" s="179">
        <v>38895</v>
      </c>
      <c r="D24" s="92">
        <v>0</v>
      </c>
      <c r="E24" s="93">
        <f>IF(OR(C24="",D24="",C24&lt;$L$4),"",IF(C24=$L$4,IF(AND(D24&lt;=$S$27,$S$27&lt;=(D24+0.08333333333)),"en juego",IF($S$27&lt;D24,"hoy!","finalizado")),IF($L$4&gt;C24,"finalizado","")))</f>
      </c>
      <c r="F24" s="94"/>
      <c r="G24" s="95"/>
      <c r="H24" s="96"/>
      <c r="I24" s="97"/>
      <c r="J24" s="98" t="str">
        <f>IF(OR(F23="",F25="",AND(F23=F25,OR(G23="",G25=""))),"OF5",IF(F23=F25,IF(G23&gt;G25,E23,E25),IF(F23&gt;F25,E23,E25)))</f>
        <v>OF5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2" customHeight="1">
      <c r="A25" s="83"/>
      <c r="B25" s="180"/>
      <c r="C25" s="181"/>
      <c r="D25" s="181"/>
      <c r="E25" s="85" t="str">
        <f>IF(F조!H18=0,"F조 2위",F조!G18)</f>
        <v>F조 2위</v>
      </c>
      <c r="F25" s="86"/>
      <c r="G25" s="99"/>
      <c r="H25" s="100"/>
      <c r="I25" s="84"/>
      <c r="J25" s="84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2.75" hidden="1">
      <c r="A26" s="83"/>
      <c r="B26" s="180"/>
      <c r="C26" s="181"/>
      <c r="D26" s="181"/>
      <c r="E26" s="84"/>
      <c r="F26" s="94"/>
      <c r="G26" s="84"/>
      <c r="H26" s="84"/>
      <c r="I26" s="84"/>
      <c r="J26" s="84"/>
      <c r="K26" s="32"/>
      <c r="L26" s="32"/>
      <c r="M26" s="32"/>
      <c r="N26" s="32"/>
      <c r="O26" s="32"/>
      <c r="P26" s="32"/>
      <c r="Q26" s="32"/>
      <c r="R26" s="101">
        <f>HOUR(M4)</f>
        <v>18</v>
      </c>
      <c r="S26" s="101">
        <f>MINUTE(M4)</f>
        <v>42</v>
      </c>
      <c r="T26" s="32"/>
      <c r="U26" s="32"/>
      <c r="V26" s="32"/>
      <c r="W26" s="32"/>
      <c r="X26" s="32"/>
    </row>
    <row r="27" spans="1:24" ht="12.75" hidden="1">
      <c r="A27" s="83"/>
      <c r="B27" s="180"/>
      <c r="C27" s="181"/>
      <c r="D27" s="181"/>
      <c r="E27" s="84"/>
      <c r="F27" s="94"/>
      <c r="G27" s="84"/>
      <c r="H27" s="84"/>
      <c r="I27" s="84"/>
      <c r="J27" s="84"/>
      <c r="K27" s="32"/>
      <c r="L27" s="32"/>
      <c r="M27" s="32"/>
      <c r="N27" s="32"/>
      <c r="O27" s="32"/>
      <c r="P27" s="32"/>
      <c r="Q27" s="32"/>
      <c r="R27" s="101"/>
      <c r="S27" s="102">
        <f>TIME(R26,S26,0)</f>
        <v>0.7791666666666667</v>
      </c>
      <c r="T27" s="32"/>
      <c r="U27" s="32"/>
      <c r="V27" s="32"/>
      <c r="W27" s="32"/>
      <c r="X27" s="32"/>
    </row>
    <row r="28" spans="1:24" ht="15" customHeight="1">
      <c r="A28" s="83"/>
      <c r="B28" s="180"/>
      <c r="C28" s="181"/>
      <c r="D28" s="181"/>
      <c r="E28" s="84"/>
      <c r="F28" s="94"/>
      <c r="G28" s="84"/>
      <c r="H28" s="84"/>
      <c r="I28" s="84"/>
      <c r="J28" s="84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12" customHeight="1">
      <c r="A29" s="83"/>
      <c r="B29" s="180"/>
      <c r="C29" s="181"/>
      <c r="D29" s="181"/>
      <c r="E29" s="85" t="str">
        <f>IF(G조!H17=0,"G조 1위",G조!G17)</f>
        <v>G조 1위</v>
      </c>
      <c r="F29" s="86"/>
      <c r="G29" s="87"/>
      <c r="H29" s="88"/>
      <c r="I29" s="84"/>
      <c r="J29" s="84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12" customHeight="1">
      <c r="A30" s="89" t="str">
        <f>IF(OR(E30="en juego",E30="hoy!",E30="finalizado"),"  -&gt;     6","6")</f>
        <v>6</v>
      </c>
      <c r="B30" s="90" t="s">
        <v>187</v>
      </c>
      <c r="C30" s="179">
        <v>38895</v>
      </c>
      <c r="D30" s="92">
        <v>0.16666666666666666</v>
      </c>
      <c r="E30" s="93">
        <f>IF(OR(C30="",D30="",C30&lt;$L$4),"",IF(C30=$L$4,IF(AND(D30&lt;=$S$27,$S$27&lt;=(D30+0.08333333333)),"en juego",IF($S$27&lt;D30,"hoy!","finalizado")),IF($L$4&gt;C30,"finalizado","")))</f>
      </c>
      <c r="F30" s="94"/>
      <c r="G30" s="95"/>
      <c r="H30" s="96"/>
      <c r="I30" s="97"/>
      <c r="J30" s="98" t="str">
        <f>IF(OR(F29="",F31="",AND(F29=F31,OR(G29="",G31=""))),"OF6",IF(F29=F31,IF(G29&gt;G31,E29,E31),IF(F29&gt;F31,E29,E31)))</f>
        <v>OF6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12" customHeight="1">
      <c r="A31" s="83"/>
      <c r="B31" s="180"/>
      <c r="C31" s="181"/>
      <c r="D31" s="181"/>
      <c r="E31" s="85" t="str">
        <f>IF(H조!H18=0,"H조 2위",H조!G18)</f>
        <v>H조 2위</v>
      </c>
      <c r="F31" s="86"/>
      <c r="G31" s="99"/>
      <c r="H31" s="100"/>
      <c r="I31" s="84"/>
      <c r="J31" s="84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15" customHeight="1">
      <c r="A32" s="83"/>
      <c r="B32" s="180"/>
      <c r="C32" s="181"/>
      <c r="D32" s="181"/>
      <c r="E32" s="84"/>
      <c r="F32" s="94"/>
      <c r="G32" s="84"/>
      <c r="H32" s="84"/>
      <c r="I32" s="84"/>
      <c r="J32" s="84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2" customHeight="1">
      <c r="A33" s="83"/>
      <c r="B33" s="180"/>
      <c r="C33" s="181"/>
      <c r="D33" s="181"/>
      <c r="E33" s="85" t="str">
        <f>IF(F조!H17=0,"F조 1위",F조!G17)</f>
        <v>F조 1위</v>
      </c>
      <c r="F33" s="86"/>
      <c r="G33" s="87"/>
      <c r="H33" s="88"/>
      <c r="I33" s="84"/>
      <c r="J33" s="84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12" customHeight="1">
      <c r="A34" s="89" t="str">
        <f>IF(OR(E34="en juego",E34="hoy!",E34="finalizado"),"  -&gt;     7","7")</f>
        <v>7</v>
      </c>
      <c r="B34" s="90" t="s">
        <v>6</v>
      </c>
      <c r="C34" s="179">
        <v>38896</v>
      </c>
      <c r="D34" s="92">
        <v>0</v>
      </c>
      <c r="E34" s="93">
        <f>IF(OR(C34="",D34="",C34&lt;$L$4),"",IF(C34=$L$4,IF(AND(D34&lt;=$S$27,$S$27&lt;=(D34+0.08333333333)),"en juego",IF($S$27&lt;D34,"hoy!","finalizado")),IF($L$4&gt;C34,"finalizado","")))</f>
      </c>
      <c r="F34" s="94"/>
      <c r="G34" s="95"/>
      <c r="H34" s="96"/>
      <c r="I34" s="97"/>
      <c r="J34" s="98" t="str">
        <f>IF(OR(F33="",F35="",AND(F33=F35,OR(G33="",G35=""))),"OF7",IF(F33=F35,IF(G33&gt;G35,E33,E35),IF(F33&gt;F35,E33,E35)))</f>
        <v>OF7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2" customHeight="1">
      <c r="A35" s="83"/>
      <c r="B35" s="180"/>
      <c r="C35" s="181"/>
      <c r="D35" s="181"/>
      <c r="E35" s="85" t="str">
        <f>IF(E조!H18=0,"E조 2위",E조!G18)</f>
        <v>E조 2위</v>
      </c>
      <c r="F35" s="86"/>
      <c r="G35" s="99"/>
      <c r="H35" s="100"/>
      <c r="I35" s="84"/>
      <c r="J35" s="84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 customHeight="1">
      <c r="A36" s="83"/>
      <c r="B36" s="180"/>
      <c r="C36" s="181"/>
      <c r="D36" s="181"/>
      <c r="E36" s="84"/>
      <c r="F36" s="94"/>
      <c r="G36" s="84"/>
      <c r="H36" s="84"/>
      <c r="I36" s="84"/>
      <c r="J36" s="84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12" customHeight="1">
      <c r="A37" s="83"/>
      <c r="B37" s="180"/>
      <c r="C37" s="181"/>
      <c r="D37" s="181"/>
      <c r="E37" s="85" t="str">
        <f>IF(H조!H17=0,"H조 1위",H조!G17)</f>
        <v>H조 1위</v>
      </c>
      <c r="F37" s="86"/>
      <c r="G37" s="87"/>
      <c r="H37" s="88"/>
      <c r="I37" s="84"/>
      <c r="J37" s="84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2" customHeight="1">
      <c r="A38" s="89" t="str">
        <f>IF(OR(E38="en juego",E38="hoy!",E38="finalizado"),"  -&gt;     8","8")</f>
        <v>8</v>
      </c>
      <c r="B38" s="90" t="s">
        <v>188</v>
      </c>
      <c r="C38" s="179">
        <v>38896</v>
      </c>
      <c r="D38" s="92">
        <v>0.16666666666666666</v>
      </c>
      <c r="E38" s="93">
        <f>IF(OR(C38="",D38="",C38&lt;$L$4),"",IF(C38=$L$4,IF(AND(D38&lt;=$S$27,$S$27&lt;=(D38+0.08333333333)),"en juego",IF($S$27&lt;D38,"hoy!","finalizado")),IF($L$4&gt;C38,"finalizado","")))</f>
      </c>
      <c r="F38" s="94"/>
      <c r="G38" s="95"/>
      <c r="H38" s="96"/>
      <c r="I38" s="97"/>
      <c r="J38" s="98" t="str">
        <f>IF(OR(F37="",F39="",AND(F37=F39,OR(G37="",G39=""))),"OF8",IF(F37=F39,IF(G37&gt;G39,E37,E39),IF(F37&gt;F39,E37,E39)))</f>
        <v>OF8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2" customHeight="1">
      <c r="A39" s="83"/>
      <c r="B39" s="84"/>
      <c r="C39" s="84"/>
      <c r="D39" s="84"/>
      <c r="E39" s="85" t="str">
        <f>IF(G조!H18=0,"G조 2위",G조!G18)</f>
        <v>G조 2위</v>
      </c>
      <c r="F39" s="86"/>
      <c r="G39" s="99"/>
      <c r="H39" s="100"/>
      <c r="I39" s="84"/>
      <c r="J39" s="84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15" customHeight="1">
      <c r="A40" s="10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24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</row>
    <row r="88" spans="1:24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</row>
    <row r="89" spans="1:24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</row>
    <row r="90" spans="1:24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</row>
    <row r="91" spans="1:24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</row>
    <row r="92" spans="1:24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</row>
    <row r="93" spans="1:24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</row>
    <row r="94" spans="1:24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</row>
    <row r="95" spans="1:24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</row>
    <row r="96" spans="1:24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</row>
    <row r="97" spans="1:24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</row>
    <row r="98" spans="1:24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</row>
    <row r="99" spans="1:24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</row>
    <row r="100" spans="1:24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</row>
    <row r="102" spans="1:24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</row>
    <row r="103" spans="1:24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</row>
    <row r="104" spans="1:24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</row>
    <row r="105" spans="1:24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</row>
    <row r="106" spans="1:24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</row>
    <row r="107" spans="1:24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</row>
    <row r="108" spans="1:24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</row>
    <row r="109" spans="1:24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</row>
    <row r="110" spans="1:24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</row>
    <row r="111" spans="1:24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</row>
    <row r="112" spans="1:24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</row>
    <row r="113" spans="1:24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</row>
    <row r="114" spans="1:24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</row>
    <row r="115" spans="1:24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</row>
    <row r="116" spans="1:24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</row>
    <row r="117" spans="1:24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</row>
    <row r="118" spans="1:24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</row>
    <row r="119" spans="1:24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</row>
    <row r="120" spans="1:24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</row>
    <row r="121" spans="1:24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</row>
    <row r="122" spans="1:24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</row>
    <row r="123" spans="1:24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</row>
    <row r="124" spans="1:24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</row>
    <row r="125" spans="1:24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</row>
    <row r="126" spans="1:24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</row>
    <row r="127" spans="1:24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</row>
    <row r="128" spans="1:24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</row>
    <row r="129" spans="1:24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</row>
    <row r="130" spans="1:24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</row>
    <row r="131" spans="1:24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</row>
    <row r="132" spans="1:24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</row>
    <row r="133" spans="1:24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</row>
    <row r="134" spans="1:24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</row>
    <row r="135" spans="1:24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</row>
    <row r="136" spans="1:24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</row>
    <row r="137" spans="1:24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</row>
    <row r="138" spans="1:24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</row>
    <row r="139" spans="1:24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</row>
    <row r="140" spans="1:24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</row>
    <row r="141" spans="1:24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</row>
    <row r="142" spans="1:24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</row>
    <row r="143" spans="1:24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</row>
    <row r="144" spans="1:24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</row>
    <row r="145" spans="1:24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</row>
    <row r="146" spans="1:24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</row>
    <row r="147" spans="1:24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</row>
    <row r="148" spans="1:24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</row>
    <row r="149" spans="1:24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</row>
    <row r="150" spans="1:24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</row>
    <row r="151" spans="1:24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</row>
    <row r="152" spans="1:24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</row>
    <row r="153" spans="1:24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</row>
    <row r="154" spans="1:24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</row>
    <row r="155" spans="1:24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</row>
    <row r="156" spans="1:24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</row>
    <row r="157" spans="1:24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</row>
    <row r="158" spans="1:24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</row>
    <row r="159" spans="1:24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</row>
    <row r="160" spans="1:24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</row>
    <row r="161" spans="1:24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</row>
    <row r="162" spans="1:24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</row>
    <row r="163" spans="1:24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</row>
    <row r="164" spans="1:24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</row>
    <row r="165" spans="1:24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</row>
    <row r="166" spans="1:24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</row>
    <row r="167" spans="1:24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</row>
  </sheetData>
  <sheetProtection password="F52A" sheet="1" objects="1" scenarios="1"/>
  <mergeCells count="4">
    <mergeCell ref="A1:O2"/>
    <mergeCell ref="B5:D5"/>
    <mergeCell ref="E5:F5"/>
    <mergeCell ref="G5:H5"/>
  </mergeCells>
  <conditionalFormatting sqref="G7 G9">
    <cfRule type="expression" priority="1" dxfId="2" stopIfTrue="1">
      <formula>IF(AND($F$7=$F$9,$F$7&lt;&gt;"",$F$9&lt;&gt;""),1,0)</formula>
    </cfRule>
  </conditionalFormatting>
  <conditionalFormatting sqref="G11 G13">
    <cfRule type="expression" priority="2" dxfId="2" stopIfTrue="1">
      <formula>IF(AND($F$11=$F$13,$F$11&lt;&gt;"",$F$13&lt;&gt;""),1,0)</formula>
    </cfRule>
  </conditionalFormatting>
  <conditionalFormatting sqref="G15 G17">
    <cfRule type="expression" priority="3" dxfId="2" stopIfTrue="1">
      <formula>IF(AND($F$15=$F$17,$F$15&lt;&gt;"",$F$17&lt;&gt;""),1,0)</formula>
    </cfRule>
  </conditionalFormatting>
  <conditionalFormatting sqref="G19 G21">
    <cfRule type="expression" priority="4" dxfId="2" stopIfTrue="1">
      <formula>IF(AND($F$19=$F$21,$F$19&lt;&gt;"",$F$21&lt;&gt;""),1,0)</formula>
    </cfRule>
  </conditionalFormatting>
  <conditionalFormatting sqref="G23 G25">
    <cfRule type="expression" priority="5" dxfId="2" stopIfTrue="1">
      <formula>IF(AND($F$23=$F$25,$F$23&lt;&gt;"",$F$25&lt;&gt;""),1,0)</formula>
    </cfRule>
  </conditionalFormatting>
  <conditionalFormatting sqref="G29 G31">
    <cfRule type="expression" priority="6" dxfId="2" stopIfTrue="1">
      <formula>IF(AND($F$29=$F$31,$F$29&lt;&gt;"",$F$31&lt;&gt;""),1,0)</formula>
    </cfRule>
  </conditionalFormatting>
  <conditionalFormatting sqref="G33 G35">
    <cfRule type="expression" priority="7" dxfId="2" stopIfTrue="1">
      <formula>IF(AND($F$33=$F$35,$F$33&lt;&gt;"",$F$35&lt;&gt;""),1,0)</formula>
    </cfRule>
  </conditionalFormatting>
  <conditionalFormatting sqref="G37 G39">
    <cfRule type="expression" priority="8" dxfId="2" stopIfTrue="1">
      <formula>IF(AND($F$37=$F$39,$F$37&lt;&gt;"",$F$39&lt;&gt;""),1,0)</formula>
    </cfRule>
  </conditionalFormatting>
  <conditionalFormatting sqref="A8:E8 C11:C12 D16 D24 D34">
    <cfRule type="expression" priority="9" dxfId="1" stopIfTrue="1">
      <formula>IF(OR($E$8="en juego",$E$8="hoy!"),1,0)</formula>
    </cfRule>
  </conditionalFormatting>
  <conditionalFormatting sqref="E38 A38:B38">
    <cfRule type="expression" priority="10" dxfId="1" stopIfTrue="1">
      <formula>IF(OR($E$38="en juego",$E$38="hoy!"),1,0)</formula>
    </cfRule>
  </conditionalFormatting>
  <conditionalFormatting sqref="E34 A34:C34 C38">
    <cfRule type="expression" priority="11" dxfId="1" stopIfTrue="1">
      <formula>IF(OR($E$34="en juego",$E$34="hoy!"),1,0)</formula>
    </cfRule>
  </conditionalFormatting>
  <conditionalFormatting sqref="E30 A30:B30">
    <cfRule type="expression" priority="12" dxfId="1" stopIfTrue="1">
      <formula>IF(OR($E$30="en juego",$E$30="hoy!"),1,0)</formula>
    </cfRule>
  </conditionalFormatting>
  <conditionalFormatting sqref="E24 A24:C24 C30">
    <cfRule type="expression" priority="13" dxfId="1" stopIfTrue="1">
      <formula>IF(OR($E$24="en juego",$E$24="hoy!"),1,0)</formula>
    </cfRule>
  </conditionalFormatting>
  <conditionalFormatting sqref="E20 A20:B20">
    <cfRule type="expression" priority="14" dxfId="1" stopIfTrue="1">
      <formula>IF(OR($E$20="en juego",$E$20="hoy!"),1,0)</formula>
    </cfRule>
  </conditionalFormatting>
  <conditionalFormatting sqref="E16 A16:C16 C20">
    <cfRule type="expression" priority="15" dxfId="1" stopIfTrue="1">
      <formula>IF(OR($E$16="en juego",$E$16="hoy!"),1,0)</formula>
    </cfRule>
  </conditionalFormatting>
  <conditionalFormatting sqref="A12:B12 D12:E12 D20 D30 D38">
    <cfRule type="expression" priority="16" dxfId="1" stopIfTrue="1">
      <formula>IF(OR($E$12="en juego",$E$12="hoy!"),1,0)</formula>
    </cfRule>
  </conditionalFormatting>
  <dataValidations count="2">
    <dataValidation type="whole" allowBlank="1" showErrorMessage="1" errorTitle="Dato no válido" error="Ingrese sólo un número entero&#10;entre 0 y 99." sqref="F7 F9 F11 F13 F15 F17 F19 F21 F23 F25 F29 F31 F33 F35 F37 F39">
      <formula1>0</formula1>
      <formula2>99</formula2>
    </dataValidation>
    <dataValidation type="custom" showErrorMessage="1" errorTitle="Dato no válido" error="Debe introducir antes el resultado del partido." sqref="G7 G9 G11 G13 G15 G17 G19 G21 G23 G25 G29 G31 G33 G35 G37 G39">
      <formula1>IF(F7&lt;&gt;"",1,0)</formula1>
      <formula2>0</formula2>
    </dataValidation>
  </dataValidations>
  <hyperlinks>
    <hyperlink ref="O4" location="Menu!A1" display="Men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0">
    <tabColor indexed="17"/>
  </sheetPr>
  <dimension ref="A1:U152"/>
  <sheetViews>
    <sheetView showGridLines="0" showRowColHeaders="0" showOutlineSymbols="0" workbookViewId="0" topLeftCell="A1">
      <selection activeCell="U46" sqref="U46"/>
    </sheetView>
  </sheetViews>
  <sheetFormatPr defaultColWidth="9.140625" defaultRowHeight="12.75"/>
  <cols>
    <col min="1" max="1" width="2.140625" style="49" customWidth="1"/>
    <col min="2" max="2" width="14.7109375" style="49" customWidth="1"/>
    <col min="3" max="4" width="6.7109375" style="49" customWidth="1"/>
    <col min="5" max="5" width="15.7109375" style="49" customWidth="1"/>
    <col min="6" max="6" width="3.7109375" style="49" customWidth="1"/>
    <col min="7" max="7" width="2.00390625" style="49" customWidth="1"/>
    <col min="8" max="8" width="6.57421875" style="49" customWidth="1"/>
    <col min="9" max="9" width="11.7109375" style="49" customWidth="1"/>
    <col min="10" max="10" width="15.7109375" style="49" customWidth="1"/>
    <col min="11" max="11" width="3.7109375" style="49" customWidth="1"/>
    <col min="12" max="12" width="7.7109375" style="49" customWidth="1"/>
    <col min="13" max="13" width="5.421875" style="49" customWidth="1"/>
    <col min="14" max="14" width="1.7109375" style="49" customWidth="1"/>
    <col min="15" max="16384" width="11.421875" style="49" customWidth="1"/>
  </cols>
  <sheetData>
    <row r="1" spans="1:21" s="73" customFormat="1" ht="34.5" customHeight="1">
      <c r="A1" s="205" t="s">
        <v>75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71"/>
      <c r="Q1" s="71"/>
      <c r="R1" s="71"/>
      <c r="S1" s="71"/>
      <c r="T1" s="15"/>
      <c r="U1" s="15"/>
    </row>
    <row r="2" spans="1:21" s="73" customFormat="1" ht="34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71"/>
      <c r="Q2" s="71"/>
      <c r="R2" s="71"/>
      <c r="S2" s="71"/>
      <c r="T2" s="15"/>
      <c r="U2" s="15"/>
    </row>
    <row r="3" spans="1:19" ht="15" customHeight="1">
      <c r="A3" s="32"/>
      <c r="B3" s="32"/>
      <c r="C3" s="32"/>
      <c r="D3" s="32"/>
      <c r="E3" s="74"/>
      <c r="F3" s="33"/>
      <c r="G3" s="32"/>
      <c r="H3" s="32"/>
      <c r="I3" s="32"/>
      <c r="J3" s="32"/>
      <c r="K3" s="32"/>
      <c r="L3" s="75"/>
      <c r="M3" s="76"/>
      <c r="N3" s="32"/>
      <c r="O3" s="32"/>
      <c r="P3" s="32"/>
      <c r="Q3" s="32"/>
      <c r="R3" s="32"/>
      <c r="S3" s="32"/>
    </row>
    <row r="4" spans="1:19" ht="12.75" customHeight="1">
      <c r="A4" s="32"/>
      <c r="B4" s="32"/>
      <c r="C4" s="32"/>
      <c r="D4" s="32"/>
      <c r="E4" s="77"/>
      <c r="F4" s="76"/>
      <c r="G4" s="32"/>
      <c r="H4" s="32"/>
      <c r="I4" s="32"/>
      <c r="J4" s="32"/>
      <c r="K4" s="32"/>
      <c r="L4" s="174">
        <f ca="1">TODAY()</f>
        <v>38864</v>
      </c>
      <c r="M4" s="78">
        <f ca="1">NOW()</f>
        <v>38864.779269907405</v>
      </c>
      <c r="N4" s="32"/>
      <c r="O4" s="79" t="s">
        <v>177</v>
      </c>
      <c r="P4" s="32"/>
      <c r="Q4" s="32"/>
      <c r="R4" s="32"/>
      <c r="S4" s="32"/>
    </row>
    <row r="5" spans="1:19" ht="12" customHeight="1">
      <c r="A5" s="32"/>
      <c r="B5" s="218" t="s">
        <v>194</v>
      </c>
      <c r="C5" s="219"/>
      <c r="D5" s="219"/>
      <c r="E5" s="218" t="s">
        <v>119</v>
      </c>
      <c r="F5" s="219"/>
      <c r="G5" s="220" t="s">
        <v>195</v>
      </c>
      <c r="H5" s="220"/>
      <c r="I5" s="81"/>
      <c r="J5" s="168" t="s">
        <v>127</v>
      </c>
      <c r="K5" s="32"/>
      <c r="L5" s="82"/>
      <c r="M5" s="32"/>
      <c r="N5" s="32"/>
      <c r="O5" s="32"/>
      <c r="P5" s="32"/>
      <c r="Q5" s="32"/>
      <c r="R5" s="32"/>
      <c r="S5" s="32"/>
    </row>
    <row r="6" spans="1:19" ht="12" customHeight="1">
      <c r="A6" s="104"/>
      <c r="B6" s="105"/>
      <c r="C6" s="105"/>
      <c r="D6" s="105"/>
      <c r="E6" s="84"/>
      <c r="F6" s="84"/>
      <c r="G6" s="84"/>
      <c r="H6" s="84"/>
      <c r="I6" s="84"/>
      <c r="J6" s="84"/>
      <c r="K6" s="32"/>
      <c r="L6" s="32"/>
      <c r="M6" s="32"/>
      <c r="N6" s="32"/>
      <c r="O6" s="32"/>
      <c r="P6" s="32"/>
      <c r="Q6" s="32"/>
      <c r="R6" s="32"/>
      <c r="S6" s="32"/>
    </row>
    <row r="7" spans="1:19" ht="14.25" customHeight="1">
      <c r="A7" s="104"/>
      <c r="B7" s="105"/>
      <c r="C7" s="105"/>
      <c r="D7" s="105"/>
      <c r="E7" s="106" t="str">
        <f>'16강전'!J8</f>
        <v>OF1</v>
      </c>
      <c r="F7" s="107"/>
      <c r="G7" s="108"/>
      <c r="H7" s="88"/>
      <c r="I7" s="84"/>
      <c r="J7" s="84"/>
      <c r="K7" s="32"/>
      <c r="L7" s="32"/>
      <c r="M7" s="32"/>
      <c r="N7" s="32"/>
      <c r="O7" s="32"/>
      <c r="P7" s="32"/>
      <c r="Q7" s="32"/>
      <c r="R7" s="32"/>
      <c r="S7" s="32"/>
    </row>
    <row r="8" spans="1:19" ht="14.25" customHeight="1">
      <c r="A8" s="109" t="str">
        <f>IF(OR(E8="en juego",E8="hoy!",E8="finalizado"),"  -&gt;     A","A")</f>
        <v>A</v>
      </c>
      <c r="B8" s="110" t="s">
        <v>14</v>
      </c>
      <c r="C8" s="182">
        <v>38899</v>
      </c>
      <c r="D8" s="111">
        <v>0</v>
      </c>
      <c r="E8" s="112">
        <f>IF(OR(C8="",D8="",C8&lt;$L$4),"",IF(C8=$L$4,IF(AND(D8&lt;=$S$24,$S$24&lt;=(D8+0.08333333333)),"en juego",IF($S$24&lt;D8,"hoy!","finalizado")),IF($L$4&gt;C8,"finalizado","")))</f>
      </c>
      <c r="F8" s="113"/>
      <c r="G8" s="95"/>
      <c r="H8" s="96"/>
      <c r="I8" s="97"/>
      <c r="J8" s="114" t="str">
        <f>IF(OR(F7="",F9="",AND(F7=F9,OR(G7="",G9=""))),"CF1",IF(F7=F9,IF(G7&gt;G9,E7,E9),IF(F7&gt;F9,E7,E9)))</f>
        <v>CF1</v>
      </c>
      <c r="K8" s="32"/>
      <c r="L8" s="32"/>
      <c r="M8" s="32"/>
      <c r="N8" s="32"/>
      <c r="O8" s="32"/>
      <c r="P8" s="32"/>
      <c r="Q8" s="32"/>
      <c r="R8" s="32"/>
      <c r="S8" s="32"/>
    </row>
    <row r="9" spans="1:19" ht="14.25" customHeight="1">
      <c r="A9" s="104"/>
      <c r="B9" s="115"/>
      <c r="C9" s="105"/>
      <c r="D9" s="105"/>
      <c r="E9" s="106" t="str">
        <f>'16강전'!J16</f>
        <v>OF3</v>
      </c>
      <c r="F9" s="107"/>
      <c r="G9" s="116"/>
      <c r="H9" s="100"/>
      <c r="I9" s="84"/>
      <c r="J9" s="84"/>
      <c r="K9" s="32"/>
      <c r="L9" s="32"/>
      <c r="M9" s="32"/>
      <c r="N9" s="32"/>
      <c r="O9" s="32"/>
      <c r="P9" s="32"/>
      <c r="Q9" s="32"/>
      <c r="R9" s="32"/>
      <c r="S9" s="32"/>
    </row>
    <row r="10" spans="1:19" ht="15" customHeight="1">
      <c r="A10" s="104"/>
      <c r="B10" s="115"/>
      <c r="C10" s="105"/>
      <c r="D10" s="105"/>
      <c r="E10" s="117"/>
      <c r="F10" s="113"/>
      <c r="G10" s="84"/>
      <c r="H10" s="84"/>
      <c r="I10" s="84"/>
      <c r="J10" s="84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4.25" customHeight="1">
      <c r="A11" s="104"/>
      <c r="B11" s="115"/>
      <c r="C11" s="105"/>
      <c r="D11" s="105"/>
      <c r="E11" s="106" t="str">
        <f>'16강전'!J24</f>
        <v>OF5</v>
      </c>
      <c r="F11" s="107"/>
      <c r="G11" s="108"/>
      <c r="H11" s="88"/>
      <c r="I11" s="84"/>
      <c r="J11" s="84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4.25" customHeight="1">
      <c r="A12" s="109" t="str">
        <f>IF(OR(E12="en juego",E12="hoy!",E12="finalizado"),"  -&gt;     B","B")</f>
        <v>B</v>
      </c>
      <c r="B12" s="110" t="s">
        <v>181</v>
      </c>
      <c r="C12" s="182">
        <v>38899</v>
      </c>
      <c r="D12" s="111">
        <v>0.16666666666666666</v>
      </c>
      <c r="E12" s="112">
        <f>IF(OR(C12="",D12="",C12&lt;$L$4),"",IF(C12=$L$4,IF(AND(D12&lt;=$S$24,$S$24&lt;=(D12+0.08333333333)),"en juego",IF($S$24&lt;D12,"hoy!","finalizado")),IF($L$4&gt;C12,"finalizado","")))</f>
      </c>
      <c r="F12" s="113"/>
      <c r="G12" s="95"/>
      <c r="H12" s="96"/>
      <c r="I12" s="97"/>
      <c r="J12" s="114" t="str">
        <f>IF(OR(F11="",F13="",AND(F11=F13,OR(G11="",G13=""))),"CF2",IF(F11=F13,IF(G11&gt;G13,E11,E13),IF(F11&gt;F13,E11,E13)))</f>
        <v>CF2</v>
      </c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4.25" customHeight="1">
      <c r="A13" s="104"/>
      <c r="B13" s="115"/>
      <c r="C13" s="105"/>
      <c r="D13" s="105"/>
      <c r="E13" s="106" t="str">
        <f>'16강전'!J34</f>
        <v>OF7</v>
      </c>
      <c r="F13" s="107"/>
      <c r="G13" s="116"/>
      <c r="H13" s="100"/>
      <c r="I13" s="84"/>
      <c r="J13" s="84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" customHeight="1">
      <c r="A14" s="104"/>
      <c r="B14" s="115"/>
      <c r="C14" s="105"/>
      <c r="D14" s="105"/>
      <c r="E14" s="117"/>
      <c r="F14" s="113"/>
      <c r="G14" s="84"/>
      <c r="H14" s="84"/>
      <c r="I14" s="84"/>
      <c r="J14" s="84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4.25" customHeight="1">
      <c r="A15" s="104"/>
      <c r="B15" s="115"/>
      <c r="C15" s="105"/>
      <c r="D15" s="105"/>
      <c r="E15" s="106" t="str">
        <f>'16강전'!J12</f>
        <v>OF2</v>
      </c>
      <c r="F15" s="107"/>
      <c r="G15" s="108"/>
      <c r="H15" s="88"/>
      <c r="I15" s="84"/>
      <c r="J15" s="84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4.25" customHeight="1">
      <c r="A16" s="109" t="str">
        <f>IF(OR(E16="en juego",E16="hoy!",E16="finalizado"),"  -&gt;     C","C")</f>
        <v>C</v>
      </c>
      <c r="B16" s="110" t="s">
        <v>5</v>
      </c>
      <c r="C16" s="183">
        <v>38900</v>
      </c>
      <c r="D16" s="111">
        <v>0</v>
      </c>
      <c r="E16" s="112">
        <f>IF(OR(C16="",D16="",C16&lt;$L$4),"",IF(C16=$L$4,IF(AND(D16&lt;=$S$24,$S$24&lt;=(D16+0.08333333333)),"en juego",IF($S$24&lt;D16,"hoy!","finalizado")),IF($L$4&gt;C16,"finalizado","")))</f>
      </c>
      <c r="F16" s="113"/>
      <c r="G16" s="95"/>
      <c r="H16" s="96"/>
      <c r="I16" s="97"/>
      <c r="J16" s="114" t="str">
        <f>IF(OR(F15="",F17="",AND(F15=F17,OR(G15="",G17=""))),"CF3",IF(F15=F17,IF(G15&gt;G17,E15,E17),IF(F15&gt;F17,E15,E17)))</f>
        <v>CF3</v>
      </c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4.25" customHeight="1">
      <c r="A17" s="104"/>
      <c r="B17" s="115"/>
      <c r="C17" s="105"/>
      <c r="D17" s="105"/>
      <c r="E17" s="106" t="str">
        <f>'16강전'!J20</f>
        <v>OF4</v>
      </c>
      <c r="F17" s="107"/>
      <c r="G17" s="116"/>
      <c r="H17" s="100"/>
      <c r="I17" s="84"/>
      <c r="J17" s="84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5" customHeight="1">
      <c r="A18" s="104"/>
      <c r="B18" s="115"/>
      <c r="C18" s="105"/>
      <c r="D18" s="105"/>
      <c r="E18" s="117"/>
      <c r="F18" s="113"/>
      <c r="G18" s="84"/>
      <c r="H18" s="84"/>
      <c r="I18" s="84"/>
      <c r="J18" s="84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4.25" customHeight="1">
      <c r="A19" s="104"/>
      <c r="B19" s="115"/>
      <c r="C19" s="105"/>
      <c r="D19" s="105"/>
      <c r="E19" s="106" t="str">
        <f>'16강전'!J30</f>
        <v>OF6</v>
      </c>
      <c r="F19" s="107"/>
      <c r="G19" s="108"/>
      <c r="H19" s="88"/>
      <c r="I19" s="84"/>
      <c r="J19" s="84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4.25" customHeight="1">
      <c r="A20" s="109" t="str">
        <f>IF(OR(E20="en juego",E20="hoy!",E20="finalizado"),"  -&gt;     D","D")</f>
        <v>D</v>
      </c>
      <c r="B20" s="110" t="s">
        <v>10</v>
      </c>
      <c r="C20" s="183">
        <v>38900</v>
      </c>
      <c r="D20" s="111">
        <v>0.16666666666666666</v>
      </c>
      <c r="E20" s="112">
        <f>IF(OR(C20="",D20="",C20&lt;$L$4),"",IF(C20=$L$4,IF(AND(D20&lt;=$S$24,$S$24&lt;=(D20+0.08333333333)),"en juego",IF($S$24&lt;D20,"hoy!","finalizado")),IF($L$4&gt;C20,"finalizado","")))</f>
      </c>
      <c r="F20" s="113"/>
      <c r="G20" s="95"/>
      <c r="H20" s="96"/>
      <c r="I20" s="97"/>
      <c r="J20" s="114" t="str">
        <f>IF(OR(F19="",F21="",AND(F19=F21,OR(G19="",G21=""))),"CF4",IF(F19=F21,IF(G19&gt;G21,E19,E21),IF(F19&gt;F21,E19,E21)))</f>
        <v>CF4</v>
      </c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4.25" customHeight="1">
      <c r="A21" s="104"/>
      <c r="B21" s="105"/>
      <c r="C21" s="105"/>
      <c r="D21" s="105"/>
      <c r="E21" s="106" t="str">
        <f>'16강전'!J38</f>
        <v>OF8</v>
      </c>
      <c r="F21" s="107"/>
      <c r="G21" s="116"/>
      <c r="H21" s="100"/>
      <c r="I21" s="84"/>
      <c r="J21" s="84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5" customHeight="1">
      <c r="A22" s="104"/>
      <c r="B22" s="105"/>
      <c r="C22" s="105"/>
      <c r="D22" s="105"/>
      <c r="E22" s="84"/>
      <c r="F22" s="84"/>
      <c r="G22" s="84"/>
      <c r="H22" s="84"/>
      <c r="I22" s="84"/>
      <c r="J22" s="84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 hidden="1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32"/>
      <c r="L23" s="32"/>
      <c r="M23" s="32"/>
      <c r="N23" s="32"/>
      <c r="O23" s="32"/>
      <c r="P23" s="32"/>
      <c r="Q23" s="32"/>
      <c r="R23" s="101">
        <f>HOUR(M4)</f>
        <v>18</v>
      </c>
      <c r="S23" s="101">
        <f>MINUTE(M4)</f>
        <v>42</v>
      </c>
    </row>
    <row r="24" spans="1:19" ht="12.75" hidden="1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32"/>
      <c r="L24" s="32"/>
      <c r="M24" s="32"/>
      <c r="N24" s="32"/>
      <c r="O24" s="32"/>
      <c r="P24" s="32"/>
      <c r="Q24" s="32"/>
      <c r="R24" s="101"/>
      <c r="S24" s="102">
        <f>TIME(R23,S23,0)</f>
        <v>0.7791666666666667</v>
      </c>
    </row>
    <row r="25" spans="1:19" ht="15" customHeight="1">
      <c r="A25" s="10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19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19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1:19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1:19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1:19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1:19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1:19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1:19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1:19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1:19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1:19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1:19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1:19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1:19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1:19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1:19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</row>
    <row r="86" spans="1:19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1:19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</row>
    <row r="88" spans="1:19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</row>
    <row r="89" spans="1:19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1:19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</row>
    <row r="91" spans="1:19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</row>
    <row r="92" spans="1:19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</row>
    <row r="93" spans="1:19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</row>
    <row r="94" spans="1:19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</row>
    <row r="95" spans="1:19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</row>
    <row r="96" spans="1:19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</row>
    <row r="97" spans="1:19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</row>
    <row r="98" spans="1:19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</row>
    <row r="99" spans="1:19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</row>
    <row r="100" spans="1:19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</row>
    <row r="101" spans="1:19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</row>
    <row r="102" spans="1:19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</row>
    <row r="103" spans="1:19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</row>
    <row r="104" spans="1:19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</row>
    <row r="105" spans="1:19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</row>
    <row r="106" spans="1:19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1:19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</row>
    <row r="108" spans="1:19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</row>
    <row r="109" spans="1:19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</row>
    <row r="110" spans="1:19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</row>
    <row r="111" spans="1:19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</row>
    <row r="112" spans="1:19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</row>
    <row r="113" spans="1:19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</row>
    <row r="114" spans="1:19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</row>
    <row r="115" spans="1:19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</row>
    <row r="116" spans="1:19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</row>
    <row r="117" spans="1:19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</row>
    <row r="118" spans="1:19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</row>
    <row r="119" spans="1:19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</row>
    <row r="120" spans="1:19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</row>
    <row r="121" spans="1:19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</row>
    <row r="122" spans="1:19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</row>
    <row r="123" spans="1:19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</row>
    <row r="124" spans="1:19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</row>
    <row r="125" spans="1:19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</row>
    <row r="126" spans="1:19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</row>
    <row r="127" spans="1:19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</row>
    <row r="128" spans="1:19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</row>
    <row r="129" spans="1:19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</row>
    <row r="130" spans="1:19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</row>
    <row r="131" spans="1:19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</row>
    <row r="132" spans="1:19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</row>
    <row r="133" spans="1:19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</row>
    <row r="134" spans="1:19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</row>
    <row r="135" spans="1:19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</row>
    <row r="136" spans="1:19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</row>
    <row r="137" spans="1:19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</row>
    <row r="138" spans="1:19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</row>
    <row r="139" spans="1:19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</row>
    <row r="140" spans="1:19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</row>
    <row r="141" spans="1:19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</row>
    <row r="142" spans="1:19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</row>
    <row r="143" spans="1:19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</row>
    <row r="146" spans="1:19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</row>
    <row r="147" spans="1:19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</row>
    <row r="150" spans="1:19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</row>
    <row r="151" spans="1:19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</row>
    <row r="152" spans="1:19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</row>
  </sheetData>
  <sheetProtection password="F52A" sheet="1" objects="1" scenarios="1"/>
  <mergeCells count="4">
    <mergeCell ref="A1:O2"/>
    <mergeCell ref="B5:D5"/>
    <mergeCell ref="E5:F5"/>
    <mergeCell ref="G5:H5"/>
  </mergeCells>
  <conditionalFormatting sqref="G7 G9">
    <cfRule type="expression" priority="1" dxfId="2" stopIfTrue="1">
      <formula>IF(AND($F$7=$F$9,$F$7&lt;&gt;"",$F$9&lt;&gt;""),1,0)</formula>
    </cfRule>
  </conditionalFormatting>
  <conditionalFormatting sqref="G11 G13">
    <cfRule type="expression" priority="2" dxfId="2" stopIfTrue="1">
      <formula>IF(AND($F$11=$F$13,$F$11&lt;&gt;"",$F$13&lt;&gt;""),1,0)</formula>
    </cfRule>
  </conditionalFormatting>
  <conditionalFormatting sqref="G15 G17">
    <cfRule type="expression" priority="3" dxfId="2" stopIfTrue="1">
      <formula>IF(AND($F$15=$F$17,$F$15&lt;&gt;"",$F$17&lt;&gt;""),1,0)</formula>
    </cfRule>
  </conditionalFormatting>
  <conditionalFormatting sqref="G19 G21">
    <cfRule type="expression" priority="4" dxfId="2" stopIfTrue="1">
      <formula>IF(AND($F$19=$F$21,$F$19&lt;&gt;"",$F$21&lt;&gt;""),1,0)</formula>
    </cfRule>
  </conditionalFormatting>
  <conditionalFormatting sqref="A8:E8 C12 D16">
    <cfRule type="expression" priority="5" dxfId="1" stopIfTrue="1">
      <formula>IF(OR($E$8="en juego",$E$8="hoy!"),1,0)</formula>
    </cfRule>
  </conditionalFormatting>
  <conditionalFormatting sqref="A12:B12 D12:E12 D20">
    <cfRule type="expression" priority="6" dxfId="1" stopIfTrue="1">
      <formula>IF(OR($E$12="en juego",$E$12="hoy!"),1,0)</formula>
    </cfRule>
  </conditionalFormatting>
  <conditionalFormatting sqref="E16 A16:C16 C20">
    <cfRule type="expression" priority="7" dxfId="1" stopIfTrue="1">
      <formula>IF(OR($E$16="en juego",$E$16="hoy!"),1,0)</formula>
    </cfRule>
  </conditionalFormatting>
  <conditionalFormatting sqref="E20 A20:B20">
    <cfRule type="expression" priority="8" dxfId="1" stopIfTrue="1">
      <formula>IF(OR($E$20="en juego",$E$20="hoy!"),1,0)</formula>
    </cfRule>
  </conditionalFormatting>
  <dataValidations count="3">
    <dataValidation type="whole" allowBlank="1" showErrorMessage="1" errorTitle="Dato no válido" error="Ingrese sólo un número entero&#10;entre 0 y 99." sqref="F9 F13 F17 F21">
      <formula1>0</formula1>
      <formula2>99</formula2>
    </dataValidation>
    <dataValidation type="whole" allowBlank="1" showErrorMessage="1" errorTitle="Dato no válido." error="Ingrese sólo un número entero&#10;entre 0 y 99." sqref="F7 F11 F15 F19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  <formula2>0</formula2>
    </dataValidation>
  </dataValidations>
  <hyperlinks>
    <hyperlink ref="O4" location="Menu!A1" display="Men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1">
    <tabColor indexed="17"/>
  </sheetPr>
  <dimension ref="A1:U152"/>
  <sheetViews>
    <sheetView showGridLines="0" showRowColHeaders="0" showOutlineSymbols="0" workbookViewId="0" topLeftCell="A1">
      <selection activeCell="U42" sqref="U42"/>
    </sheetView>
  </sheetViews>
  <sheetFormatPr defaultColWidth="9.140625" defaultRowHeight="12.75"/>
  <cols>
    <col min="1" max="1" width="2.00390625" style="49" customWidth="1"/>
    <col min="2" max="2" width="14.7109375" style="49" customWidth="1"/>
    <col min="3" max="4" width="6.7109375" style="49" customWidth="1"/>
    <col min="5" max="5" width="16.7109375" style="49" customWidth="1"/>
    <col min="6" max="6" width="3.7109375" style="49" customWidth="1"/>
    <col min="7" max="7" width="2.00390625" style="49" customWidth="1"/>
    <col min="8" max="8" width="6.57421875" style="49" customWidth="1"/>
    <col min="9" max="9" width="11.7109375" style="49" customWidth="1"/>
    <col min="10" max="10" width="16.7109375" style="49" customWidth="1"/>
    <col min="11" max="11" width="2.7109375" style="49" customWidth="1"/>
    <col min="12" max="12" width="7.7109375" style="49" customWidth="1"/>
    <col min="13" max="13" width="5.421875" style="49" customWidth="1"/>
    <col min="14" max="14" width="1.7109375" style="49" customWidth="1"/>
    <col min="15" max="16384" width="11.421875" style="49" customWidth="1"/>
  </cols>
  <sheetData>
    <row r="1" spans="1:21" s="73" customFormat="1" ht="34.5" customHeight="1">
      <c r="A1" s="205" t="s">
        <v>76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71"/>
      <c r="Q1" s="71"/>
      <c r="R1" s="15"/>
      <c r="S1" s="15"/>
      <c r="T1" s="15"/>
      <c r="U1" s="15"/>
    </row>
    <row r="2" spans="1:21" s="73" customFormat="1" ht="34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71"/>
      <c r="Q2" s="71"/>
      <c r="R2" s="15"/>
      <c r="S2" s="15"/>
      <c r="T2" s="15"/>
      <c r="U2" s="15"/>
    </row>
    <row r="3" spans="1:17" ht="19.5" customHeight="1">
      <c r="A3" s="32"/>
      <c r="B3" s="32"/>
      <c r="C3" s="32"/>
      <c r="D3" s="32"/>
      <c r="E3" s="74"/>
      <c r="F3" s="33"/>
      <c r="G3" s="32"/>
      <c r="H3" s="32"/>
      <c r="I3" s="32"/>
      <c r="J3" s="32"/>
      <c r="K3" s="32"/>
      <c r="L3" s="75"/>
      <c r="M3" s="76"/>
      <c r="N3" s="32"/>
      <c r="O3" s="32"/>
      <c r="P3" s="32"/>
      <c r="Q3" s="32"/>
    </row>
    <row r="4" spans="1:17" ht="15" customHeight="1">
      <c r="A4" s="32"/>
      <c r="B4" s="32"/>
      <c r="C4" s="32"/>
      <c r="D4" s="32"/>
      <c r="E4" s="77"/>
      <c r="F4" s="76"/>
      <c r="G4" s="32"/>
      <c r="H4" s="32"/>
      <c r="I4" s="32"/>
      <c r="J4" s="32"/>
      <c r="K4" s="32"/>
      <c r="L4" s="174">
        <f ca="1">TODAY()</f>
        <v>38864</v>
      </c>
      <c r="M4" s="78">
        <f ca="1">NOW()</f>
        <v>38864.779269907405</v>
      </c>
      <c r="N4" s="32"/>
      <c r="O4" s="79" t="s">
        <v>177</v>
      </c>
      <c r="P4" s="32"/>
      <c r="Q4" s="32"/>
    </row>
    <row r="5" spans="1:17" ht="12" customHeight="1">
      <c r="A5" s="32"/>
      <c r="B5" s="218" t="s">
        <v>194</v>
      </c>
      <c r="C5" s="219"/>
      <c r="D5" s="219"/>
      <c r="E5" s="218" t="s">
        <v>119</v>
      </c>
      <c r="F5" s="219"/>
      <c r="G5" s="220" t="s">
        <v>195</v>
      </c>
      <c r="H5" s="220"/>
      <c r="I5" s="81"/>
      <c r="J5" s="80" t="s">
        <v>21</v>
      </c>
      <c r="K5" s="32"/>
      <c r="L5" s="119"/>
      <c r="M5" s="32"/>
      <c r="N5" s="32"/>
      <c r="O5" s="32"/>
      <c r="P5" s="32"/>
      <c r="Q5" s="32"/>
    </row>
    <row r="6" spans="1:17" ht="31.5" customHeight="1">
      <c r="A6" s="104"/>
      <c r="B6" s="105"/>
      <c r="C6" s="105"/>
      <c r="D6" s="105"/>
      <c r="E6" s="84"/>
      <c r="F6" s="84"/>
      <c r="G6" s="84"/>
      <c r="H6" s="84"/>
      <c r="I6" s="84"/>
      <c r="J6" s="84"/>
      <c r="K6" s="32"/>
      <c r="L6" s="32"/>
      <c r="M6" s="32"/>
      <c r="N6" s="32"/>
      <c r="O6" s="32"/>
      <c r="P6" s="32"/>
      <c r="Q6" s="32"/>
    </row>
    <row r="7" spans="1:17" ht="15" customHeight="1">
      <c r="A7" s="104"/>
      <c r="B7" s="105"/>
      <c r="C7" s="105"/>
      <c r="D7" s="105"/>
      <c r="E7" s="120" t="str">
        <f>8강전!J8</f>
        <v>CF1</v>
      </c>
      <c r="F7" s="121"/>
      <c r="G7" s="108"/>
      <c r="H7" s="88"/>
      <c r="I7" s="84"/>
      <c r="J7" s="84"/>
      <c r="K7" s="32"/>
      <c r="L7" s="32"/>
      <c r="M7" s="32"/>
      <c r="N7" s="32"/>
      <c r="O7" s="32"/>
      <c r="P7" s="32"/>
      <c r="Q7" s="32"/>
    </row>
    <row r="8" spans="1:17" ht="15" customHeight="1">
      <c r="A8" s="122" t="str">
        <f>IF(OR(E8="en juego",E8="hoy!",E8="finalizado"),"  -&gt;     1","1")</f>
        <v>1</v>
      </c>
      <c r="B8" s="110" t="s">
        <v>6</v>
      </c>
      <c r="C8" s="183">
        <v>38903</v>
      </c>
      <c r="D8" s="123">
        <v>0.16666666666666666</v>
      </c>
      <c r="E8" s="124">
        <f>IF(OR(C8="",D8="",C8&lt;$L$4),"",IF(C8=$L$4,IF(AND(D8&lt;=$S$24,$S$24&lt;=(D8+0.08333333333)),"en juego",IF($S$24&lt;D8,"hoy!","finalizado")),IF($L$4&gt;C8,"finalizado","")))</f>
      </c>
      <c r="F8" s="113"/>
      <c r="G8" s="95"/>
      <c r="H8" s="96"/>
      <c r="I8" s="97"/>
      <c r="J8" s="125" t="str">
        <f>IF(OR(F7="",F9="",AND(F7=F9,OR(G7="",G9=""))),"SF1",IF(F7=F9,IF(G7&gt;G9,E7,E9),IF(F7&gt;F9,E7,E9)))</f>
        <v>SF1</v>
      </c>
      <c r="K8" s="32"/>
      <c r="L8" s="32"/>
      <c r="M8" s="32"/>
      <c r="N8" s="32"/>
      <c r="O8" s="32"/>
      <c r="P8" s="32"/>
      <c r="Q8" s="32"/>
    </row>
    <row r="9" spans="1:17" ht="15" customHeight="1">
      <c r="A9" s="104"/>
      <c r="B9" s="115"/>
      <c r="C9" s="105"/>
      <c r="D9" s="105"/>
      <c r="E9" s="120" t="str">
        <f>8강전!J16</f>
        <v>CF3</v>
      </c>
      <c r="F9" s="121"/>
      <c r="G9" s="116"/>
      <c r="H9" s="100"/>
      <c r="I9" s="84"/>
      <c r="J9" s="84"/>
      <c r="K9" s="32"/>
      <c r="L9" s="32"/>
      <c r="M9" s="32"/>
      <c r="N9" s="32"/>
      <c r="O9" s="32"/>
      <c r="P9" s="32"/>
      <c r="Q9" s="32"/>
    </row>
    <row r="10" spans="1:17" ht="31.5" customHeight="1">
      <c r="A10" s="104"/>
      <c r="B10" s="115"/>
      <c r="C10" s="105"/>
      <c r="D10" s="105"/>
      <c r="E10" s="117"/>
      <c r="F10" s="113"/>
      <c r="G10" s="84"/>
      <c r="H10" s="84"/>
      <c r="I10" s="84"/>
      <c r="J10" s="84"/>
      <c r="K10" s="32"/>
      <c r="L10" s="32"/>
      <c r="M10" s="32"/>
      <c r="N10" s="32"/>
      <c r="O10" s="32"/>
      <c r="P10" s="32"/>
      <c r="Q10" s="32"/>
    </row>
    <row r="11" spans="1:17" ht="15" customHeight="1">
      <c r="A11" s="104"/>
      <c r="B11" s="115"/>
      <c r="C11" s="105"/>
      <c r="D11" s="105"/>
      <c r="E11" s="120" t="str">
        <f>8강전!J12</f>
        <v>CF2</v>
      </c>
      <c r="F11" s="121"/>
      <c r="G11" s="108"/>
      <c r="H11" s="88"/>
      <c r="I11" s="84"/>
      <c r="J11" s="84"/>
      <c r="K11" s="32"/>
      <c r="L11" s="32"/>
      <c r="M11" s="32"/>
      <c r="N11" s="32"/>
      <c r="O11" s="32"/>
      <c r="P11" s="32"/>
      <c r="Q11" s="32"/>
    </row>
    <row r="12" spans="1:17" ht="15" customHeight="1">
      <c r="A12" s="122" t="str">
        <f>IF(OR(E12="en juego",E12="hoy!",E12="finalizado"),"  -&gt;     2","2")</f>
        <v>2</v>
      </c>
      <c r="B12" s="110" t="s">
        <v>4</v>
      </c>
      <c r="C12" s="183">
        <v>38904</v>
      </c>
      <c r="D12" s="123">
        <v>0.16666666666666666</v>
      </c>
      <c r="E12" s="124">
        <f>IF(OR(C12="",D12="",C12&lt;$L$4),"",IF(C12=$L$4,IF(AND(D12&lt;=$S$24,$S$24&lt;=(D12+0.08333333333)),"en juego",IF($S$24&lt;D12,"hoy!","finalizado")),IF($L$4&gt;C12,"finalizado","")))</f>
      </c>
      <c r="F12" s="113"/>
      <c r="G12" s="95"/>
      <c r="H12" s="96"/>
      <c r="I12" s="97"/>
      <c r="J12" s="125" t="str">
        <f>IF(OR(F11="",F13="",AND(F11=F13,OR(G11="",G13=""))),"SF2",IF(F11=F13,IF(G11&gt;G13,E11,E13),IF(F11&gt;F13,E11,E13)))</f>
        <v>SF2</v>
      </c>
      <c r="K12" s="32"/>
      <c r="L12" s="32"/>
      <c r="M12" s="32"/>
      <c r="N12" s="32"/>
      <c r="O12" s="32"/>
      <c r="P12" s="32"/>
      <c r="Q12" s="32"/>
    </row>
    <row r="13" spans="1:17" ht="15" customHeight="1">
      <c r="A13" s="104"/>
      <c r="B13" s="105"/>
      <c r="C13" s="105"/>
      <c r="D13" s="105"/>
      <c r="E13" s="120" t="str">
        <f>8강전!J20</f>
        <v>CF4</v>
      </c>
      <c r="F13" s="121"/>
      <c r="G13" s="116"/>
      <c r="H13" s="100"/>
      <c r="I13" s="84"/>
      <c r="J13" s="84"/>
      <c r="K13" s="32"/>
      <c r="L13" s="32"/>
      <c r="M13" s="32"/>
      <c r="N13" s="32"/>
      <c r="O13" s="32"/>
      <c r="P13" s="32"/>
      <c r="Q13" s="32"/>
    </row>
    <row r="14" spans="1:17" ht="15" customHeight="1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32"/>
      <c r="L14" s="32"/>
      <c r="M14" s="32"/>
      <c r="N14" s="32"/>
      <c r="O14" s="32"/>
      <c r="P14" s="32"/>
      <c r="Q14" s="32"/>
    </row>
    <row r="15" spans="1:17" ht="14.25" customHeight="1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32"/>
      <c r="L15" s="32"/>
      <c r="M15" s="32"/>
      <c r="N15" s="32"/>
      <c r="O15" s="32"/>
      <c r="P15" s="32"/>
      <c r="Q15" s="32"/>
    </row>
    <row r="16" spans="1:17" ht="14.25" customHeight="1">
      <c r="A16" s="103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14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4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14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14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9" ht="12.75" hidden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62">
        <f>HOUR(M4)</f>
        <v>18</v>
      </c>
      <c r="S23" s="62">
        <f>MINUTE(M4)</f>
        <v>42</v>
      </c>
    </row>
    <row r="24" spans="1:19" ht="12.75" hidden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62"/>
      <c r="S24" s="64">
        <f>TIME(R23,S23,0)</f>
        <v>0.7791666666666667</v>
      </c>
    </row>
    <row r="25" spans="1:17" ht="1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2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2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2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1:12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1:12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1:12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1:12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  <row r="67" spans="1:12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1:12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</row>
    <row r="69" spans="1:12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</row>
    <row r="70" spans="1:12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</row>
    <row r="71" spans="1:12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1:12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1:12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1:12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2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1:12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1:12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1:12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1:12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1:12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1:12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1:12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2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2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</row>
    <row r="114" spans="1:12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</row>
    <row r="123" spans="1:12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</row>
    <row r="124" spans="1:12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</row>
    <row r="125" spans="1:12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2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</row>
    <row r="127" spans="1:12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</row>
    <row r="128" spans="1:12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</row>
    <row r="129" spans="1:12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</row>
    <row r="130" spans="1:12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</row>
    <row r="131" spans="1:12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</row>
    <row r="132" spans="1:12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</row>
    <row r="133" spans="1:12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</row>
    <row r="134" spans="1:12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</row>
    <row r="135" spans="1:12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</row>
    <row r="136" spans="1:12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</row>
    <row r="137" spans="1:12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</row>
    <row r="138" spans="1:12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</row>
    <row r="139" spans="1:12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</row>
    <row r="140" spans="1:12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</row>
    <row r="141" spans="1:12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</row>
    <row r="142" spans="1:12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</row>
    <row r="143" spans="1:12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</row>
    <row r="144" spans="1:12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</row>
    <row r="145" spans="1:12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</row>
    <row r="146" spans="1:12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</row>
    <row r="147" spans="1:12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</row>
    <row r="148" spans="1:12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</row>
    <row r="149" spans="1:12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</row>
    <row r="150" spans="1:12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</row>
    <row r="151" spans="1:12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</row>
    <row r="152" spans="1:12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</row>
  </sheetData>
  <sheetProtection password="F52A" sheet="1" objects="1" scenarios="1"/>
  <mergeCells count="4">
    <mergeCell ref="A1:O2"/>
    <mergeCell ref="B5:D5"/>
    <mergeCell ref="E5:F5"/>
    <mergeCell ref="G5:H5"/>
  </mergeCells>
  <conditionalFormatting sqref="G7 G9">
    <cfRule type="expression" priority="1" dxfId="2" stopIfTrue="1">
      <formula>IF(AND($F$7=$F$9,$F$7&lt;&gt;"",$F$9&lt;&gt;""),1,0)</formula>
    </cfRule>
  </conditionalFormatting>
  <conditionalFormatting sqref="G11 G13">
    <cfRule type="expression" priority="2" dxfId="2" stopIfTrue="1">
      <formula>IF(AND($F$11=$F$13,$F$11&lt;&gt;"",$F$13&lt;&gt;""),1,0)</formula>
    </cfRule>
  </conditionalFormatting>
  <conditionalFormatting sqref="A8:E8">
    <cfRule type="expression" priority="3" dxfId="1" stopIfTrue="1">
      <formula>IF(OR($E$8="hoy!",$E$8="en juego"),1,0)</formula>
    </cfRule>
  </conditionalFormatting>
  <conditionalFormatting sqref="A12:E12">
    <cfRule type="expression" priority="4" dxfId="1" stopIfTrue="1">
      <formula>IF(OR($E$12="hoy!",$E$12="en juego"),1,0)</formula>
    </cfRule>
  </conditionalFormatting>
  <dataValidations count="3">
    <dataValidation type="whole" allowBlank="1" showErrorMessage="1" errorTitle="Dato no válido" error="Ingrese sólo un número entero&#10;entre 0 y 99." sqref="F9 F13">
      <formula1>0</formula1>
      <formula2>99</formula2>
    </dataValidation>
    <dataValidation type="whole" allowBlank="1" showErrorMessage="1" errorTitle="Dato no válido." error="Ingrese sólo un número entero&#10;entre 0 y 99." sqref="F7 F11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  <formula2>0</formula2>
    </dataValidation>
  </dataValidations>
  <hyperlinks>
    <hyperlink ref="O4" location="Menu!A1" display="Men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7">
    <tabColor indexed="17"/>
  </sheetPr>
  <dimension ref="A1:U156"/>
  <sheetViews>
    <sheetView showGridLines="0" showRowColHeaders="0" showOutlineSymbols="0" workbookViewId="0" topLeftCell="A1">
      <selection activeCell="A1" sqref="A1:O2"/>
    </sheetView>
  </sheetViews>
  <sheetFormatPr defaultColWidth="9.140625" defaultRowHeight="12.75"/>
  <cols>
    <col min="1" max="1" width="8.7109375" style="49" customWidth="1"/>
    <col min="2" max="2" width="16.28125" style="49" customWidth="1"/>
    <col min="3" max="4" width="6.7109375" style="49" customWidth="1"/>
    <col min="5" max="5" width="17.7109375" style="49" customWidth="1"/>
    <col min="6" max="6" width="3.7109375" style="49" customWidth="1"/>
    <col min="7" max="7" width="2.00390625" style="49" customWidth="1"/>
    <col min="8" max="8" width="6.57421875" style="49" customWidth="1"/>
    <col min="9" max="9" width="10.7109375" style="49" customWidth="1"/>
    <col min="10" max="10" width="16.7109375" style="49" customWidth="1"/>
    <col min="11" max="11" width="2.28125" style="49" customWidth="1"/>
    <col min="12" max="12" width="7.7109375" style="49" customWidth="1"/>
    <col min="13" max="13" width="5.421875" style="49" customWidth="1"/>
    <col min="14" max="14" width="1.7109375" style="49" customWidth="1"/>
    <col min="15" max="16384" width="11.421875" style="49" customWidth="1"/>
  </cols>
  <sheetData>
    <row r="1" spans="1:21" s="73" customFormat="1" ht="34.5" customHeight="1">
      <c r="A1" s="205" t="s">
        <v>77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71"/>
      <c r="Q1" s="71"/>
      <c r="R1" s="71"/>
      <c r="S1" s="15"/>
      <c r="T1" s="15"/>
      <c r="U1" s="15"/>
    </row>
    <row r="2" spans="1:21" s="73" customFormat="1" ht="34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71"/>
      <c r="Q2" s="71"/>
      <c r="R2" s="71"/>
      <c r="S2" s="15"/>
      <c r="T2" s="15"/>
      <c r="U2" s="15"/>
    </row>
    <row r="3" spans="1:18" ht="12" customHeight="1">
      <c r="A3" s="126"/>
      <c r="B3" s="32"/>
      <c r="C3" s="33"/>
      <c r="D3" s="32"/>
      <c r="E3" s="74"/>
      <c r="F3" s="74"/>
      <c r="G3" s="32"/>
      <c r="H3" s="32"/>
      <c r="I3" s="32"/>
      <c r="J3" s="32"/>
      <c r="K3" s="32"/>
      <c r="L3" s="75"/>
      <c r="M3" s="76"/>
      <c r="N3" s="32"/>
      <c r="O3" s="32"/>
      <c r="P3" s="32"/>
      <c r="Q3" s="32"/>
      <c r="R3" s="32"/>
    </row>
    <row r="4" spans="1:18" ht="9.75" customHeight="1">
      <c r="A4" s="126"/>
      <c r="B4" s="32"/>
      <c r="C4" s="33"/>
      <c r="D4" s="32"/>
      <c r="E4" s="74"/>
      <c r="F4" s="74"/>
      <c r="G4" s="32"/>
      <c r="H4" s="32"/>
      <c r="I4" s="32"/>
      <c r="J4" s="32"/>
      <c r="K4" s="32"/>
      <c r="L4" s="174">
        <f ca="1">TODAY()</f>
        <v>38864</v>
      </c>
      <c r="M4" s="78">
        <f ca="1">NOW()</f>
        <v>38864.779269907405</v>
      </c>
      <c r="N4" s="32"/>
      <c r="O4" s="79" t="s">
        <v>177</v>
      </c>
      <c r="P4" s="32"/>
      <c r="Q4" s="32"/>
      <c r="R4" s="32"/>
    </row>
    <row r="5" spans="1:18" ht="14.25" customHeight="1">
      <c r="A5" s="126"/>
      <c r="B5" s="127"/>
      <c r="C5" s="128" t="s">
        <v>128</v>
      </c>
      <c r="D5" s="32"/>
      <c r="E5" s="77"/>
      <c r="F5" s="77"/>
      <c r="G5" s="32"/>
      <c r="H5" s="32"/>
      <c r="I5" s="32"/>
      <c r="J5" s="32"/>
      <c r="K5" s="32"/>
      <c r="L5" s="129"/>
      <c r="M5" s="118"/>
      <c r="N5" s="32"/>
      <c r="O5" s="32"/>
      <c r="P5" s="32"/>
      <c r="Q5" s="32"/>
      <c r="R5" s="32"/>
    </row>
    <row r="6" spans="1:18" ht="12" customHeight="1">
      <c r="A6" s="126"/>
      <c r="B6" s="218" t="s">
        <v>196</v>
      </c>
      <c r="C6" s="219"/>
      <c r="D6" s="219"/>
      <c r="E6" s="218" t="s">
        <v>197</v>
      </c>
      <c r="F6" s="219"/>
      <c r="G6" s="221" t="s">
        <v>195</v>
      </c>
      <c r="H6" s="221"/>
      <c r="I6" s="130"/>
      <c r="J6" s="80" t="s">
        <v>130</v>
      </c>
      <c r="K6" s="32"/>
      <c r="L6" s="32"/>
      <c r="M6" s="32"/>
      <c r="N6" s="32"/>
      <c r="O6" s="32"/>
      <c r="P6" s="32"/>
      <c r="Q6" s="32"/>
      <c r="R6" s="32"/>
    </row>
    <row r="7" spans="1:18" ht="9.75" customHeight="1">
      <c r="A7" s="131"/>
      <c r="B7" s="105"/>
      <c r="C7" s="105"/>
      <c r="D7" s="105"/>
      <c r="E7" s="84"/>
      <c r="F7" s="84"/>
      <c r="G7" s="84"/>
      <c r="H7" s="84"/>
      <c r="I7" s="84"/>
      <c r="J7" s="84"/>
      <c r="K7" s="32"/>
      <c r="L7" s="32"/>
      <c r="M7" s="32"/>
      <c r="N7" s="32"/>
      <c r="O7" s="32"/>
      <c r="P7" s="32"/>
      <c r="Q7" s="32"/>
      <c r="R7" s="32"/>
    </row>
    <row r="8" spans="1:18" ht="14.25" customHeight="1">
      <c r="A8" s="131"/>
      <c r="B8" s="105"/>
      <c r="C8" s="105"/>
      <c r="D8" s="105"/>
      <c r="E8" s="106" t="str">
        <f>IF('4강전(준결승)'!J8="SF1","SF1-2",IF('4강전(준결승)'!J8='4강전(준결승)'!E7,'4강전(준결승)'!E9,'4강전(준결승)'!E7))</f>
        <v>SF1-2</v>
      </c>
      <c r="F8" s="107"/>
      <c r="G8" s="87"/>
      <c r="H8" s="88"/>
      <c r="I8" s="84"/>
      <c r="J8" s="84"/>
      <c r="K8" s="32"/>
      <c r="L8" s="32"/>
      <c r="M8" s="32"/>
      <c r="N8" s="32"/>
      <c r="O8" s="32"/>
      <c r="P8" s="32"/>
      <c r="Q8" s="32"/>
      <c r="R8" s="32"/>
    </row>
    <row r="9" spans="1:18" ht="14.25" customHeight="1">
      <c r="A9" s="132">
        <f>IF(OR(E9="en juego",E9="hoy!",E9="finalizado"),"Ø","")</f>
      </c>
      <c r="B9" s="109" t="s">
        <v>13</v>
      </c>
      <c r="C9" s="183">
        <v>38906</v>
      </c>
      <c r="D9" s="111">
        <v>0.6666666666666666</v>
      </c>
      <c r="E9" s="112">
        <f>IF(OR(C9="",D9="",C9&lt;$L$4),"",IF(C9=$L$4,IF(AND(D9&lt;=$S$28,$S$28&lt;=(D9+0.08333333333)),"en juego",IF($S$28&lt;D9,"hoy!","finalizado")),IF($L$4&gt;C9,"finalizado","")))</f>
      </c>
      <c r="F9" s="113"/>
      <c r="G9" s="95"/>
      <c r="H9" s="96"/>
      <c r="I9" s="97"/>
      <c r="J9" s="133" t="str">
        <f>IF(OR(F8="",F10="",AND(F8=F10,OR(G8="",G10=""))),"3위",IF(F8=F10,IF(G8&gt;G10,E8,E10),IF(F8&gt;F10,E8,E10)))</f>
        <v>3위</v>
      </c>
      <c r="K9" s="32"/>
      <c r="L9" s="32"/>
      <c r="M9" s="32"/>
      <c r="N9" s="32"/>
      <c r="O9" s="32"/>
      <c r="P9" s="32"/>
      <c r="Q9" s="32"/>
      <c r="R9" s="32"/>
    </row>
    <row r="10" spans="1:18" ht="14.25" customHeight="1">
      <c r="A10" s="131"/>
      <c r="B10" s="105"/>
      <c r="C10" s="105"/>
      <c r="D10" s="105"/>
      <c r="E10" s="106" t="str">
        <f>IF('4강전(준결승)'!J12="SF2","SF2-2",IF('4강전(준결승)'!J12='4강전(준결승)'!E11,'4강전(준결승)'!E13,'4강전(준결승)'!E11))</f>
        <v>SF2-2</v>
      </c>
      <c r="F10" s="107"/>
      <c r="G10" s="99"/>
      <c r="H10" s="100"/>
      <c r="I10" s="84"/>
      <c r="J10" s="84"/>
      <c r="K10" s="32"/>
      <c r="L10" s="32"/>
      <c r="M10" s="32"/>
      <c r="N10" s="32"/>
      <c r="O10" s="32"/>
      <c r="P10" s="32"/>
      <c r="Q10" s="32"/>
      <c r="R10" s="32"/>
    </row>
    <row r="11" spans="1:18" ht="24.75" customHeight="1">
      <c r="A11" s="131"/>
      <c r="B11" s="105"/>
      <c r="C11" s="105"/>
      <c r="D11" s="105"/>
      <c r="E11" s="134"/>
      <c r="F11" s="135"/>
      <c r="G11" s="136"/>
      <c r="H11" s="97"/>
      <c r="I11" s="84"/>
      <c r="J11" s="84"/>
      <c r="K11" s="32"/>
      <c r="L11" s="32"/>
      <c r="M11" s="32"/>
      <c r="N11" s="32"/>
      <c r="O11" s="32"/>
      <c r="P11" s="32"/>
      <c r="Q11" s="32"/>
      <c r="R11" s="32"/>
    </row>
    <row r="12" spans="1:18" ht="15" customHeight="1">
      <c r="A12" s="137"/>
      <c r="B12" s="138" t="s">
        <v>22</v>
      </c>
      <c r="C12" s="77"/>
      <c r="D12" s="32"/>
      <c r="E12" s="139"/>
      <c r="F12" s="139"/>
      <c r="G12" s="105"/>
      <c r="H12" s="105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" customHeight="1">
      <c r="A13" s="140"/>
      <c r="B13" s="218" t="s">
        <v>196</v>
      </c>
      <c r="C13" s="219"/>
      <c r="D13" s="219"/>
      <c r="E13" s="218" t="s">
        <v>197</v>
      </c>
      <c r="F13" s="219"/>
      <c r="G13" s="221" t="s">
        <v>195</v>
      </c>
      <c r="H13" s="221"/>
      <c r="I13" s="140"/>
      <c r="J13" s="141" t="s">
        <v>131</v>
      </c>
      <c r="K13" s="140"/>
      <c r="L13" s="140"/>
      <c r="M13" s="140"/>
      <c r="N13" s="140"/>
      <c r="O13" s="32"/>
      <c r="P13" s="32"/>
      <c r="Q13" s="32"/>
      <c r="R13" s="32"/>
    </row>
    <row r="14" spans="1:18" ht="16.5" customHeight="1">
      <c r="A14" s="104"/>
      <c r="B14" s="105"/>
      <c r="C14" s="105"/>
      <c r="D14" s="105"/>
      <c r="E14" s="84"/>
      <c r="F14" s="142"/>
      <c r="G14" s="84"/>
      <c r="H14" s="84"/>
      <c r="I14" s="84"/>
      <c r="J14" s="84"/>
      <c r="K14" s="32"/>
      <c r="L14" s="32"/>
      <c r="M14" s="32"/>
      <c r="N14" s="32"/>
      <c r="O14" s="32"/>
      <c r="P14" s="32"/>
      <c r="Q14" s="32"/>
      <c r="R14" s="32"/>
    </row>
    <row r="15" spans="1:18" ht="18" customHeight="1">
      <c r="A15" s="104"/>
      <c r="B15" s="105"/>
      <c r="C15" s="105"/>
      <c r="D15" s="105"/>
      <c r="E15" s="143" t="str">
        <f>'4강전(준결승)'!J8</f>
        <v>SF1</v>
      </c>
      <c r="F15" s="121"/>
      <c r="G15" s="144"/>
      <c r="H15" s="97"/>
      <c r="I15" s="84"/>
      <c r="J15" s="84"/>
      <c r="K15" s="32"/>
      <c r="L15" s="32"/>
      <c r="M15" s="32"/>
      <c r="N15" s="32"/>
      <c r="O15" s="32"/>
      <c r="P15" s="32"/>
      <c r="Q15" s="32"/>
      <c r="R15" s="32"/>
    </row>
    <row r="16" spans="1:18" ht="18" customHeight="1">
      <c r="A16" s="145">
        <f>IF(OR(E16="en juego",E16="hoy!",E16="finalizado"),"Ø","")</f>
      </c>
      <c r="B16" s="146" t="s">
        <v>14</v>
      </c>
      <c r="C16" s="183">
        <v>38907</v>
      </c>
      <c r="D16" s="147">
        <v>0.625</v>
      </c>
      <c r="E16" s="148">
        <f>IF(OR(C16="",D16="",C16&lt;$L$4),"",IF(C16=$L$4,IF(AND(D16&lt;=$S$28,$S$28&lt;=(D16+0.08333333333)),"en juego",IF($S$28&lt;D16,"hoy!","finalizado")),IF($L$4&gt;C16,"finalizado","")))</f>
      </c>
      <c r="F16" s="113"/>
      <c r="G16" s="95"/>
      <c r="H16" s="96"/>
      <c r="I16" s="97"/>
      <c r="J16" s="223" t="str">
        <f>IF(OR(F15="",F17="",AND(F15=F17,OR(G15="",G17=""))),"우승",IF(F15=F17,IF(G15&gt;G17,E15,E17),IF(F15&gt;F17,E15,E17)))</f>
        <v>우승</v>
      </c>
      <c r="K16" s="223"/>
      <c r="L16" s="32"/>
      <c r="M16" s="32"/>
      <c r="N16" s="32"/>
      <c r="O16" s="32"/>
      <c r="P16" s="32"/>
      <c r="Q16" s="32"/>
      <c r="R16" s="32"/>
    </row>
    <row r="17" spans="1:18" ht="18" customHeight="1">
      <c r="A17" s="104"/>
      <c r="B17" s="105"/>
      <c r="C17" s="105"/>
      <c r="D17" s="105"/>
      <c r="E17" s="143" t="str">
        <f>'4강전(준결승)'!J12</f>
        <v>SF2</v>
      </c>
      <c r="F17" s="121"/>
      <c r="G17" s="144"/>
      <c r="H17" s="97"/>
      <c r="I17" s="222">
        <f>IF(J16="우승","","2006 FIFA World Cup Champion!")</f>
      </c>
      <c r="J17" s="222"/>
      <c r="K17" s="222"/>
      <c r="L17" s="222"/>
      <c r="M17" s="32"/>
      <c r="N17" s="32"/>
      <c r="O17" s="32"/>
      <c r="P17" s="32"/>
      <c r="Q17" s="32"/>
      <c r="R17" s="32"/>
    </row>
    <row r="18" spans="1:18" ht="15" customHeight="1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32"/>
      <c r="L18" s="32"/>
      <c r="M18" s="32"/>
      <c r="N18" s="32"/>
      <c r="O18" s="32"/>
      <c r="P18" s="32"/>
      <c r="Q18" s="32"/>
      <c r="R18" s="32"/>
    </row>
    <row r="19" spans="1:18" ht="14.2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32"/>
      <c r="L19" s="32"/>
      <c r="M19" s="32"/>
      <c r="N19" s="32"/>
      <c r="O19" s="32"/>
      <c r="P19" s="32"/>
      <c r="Q19" s="32"/>
      <c r="R19" s="32"/>
    </row>
    <row r="20" spans="1:18" ht="14.25" customHeight="1">
      <c r="A20" s="103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4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4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14.2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4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ht="1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9" ht="12.75" hidden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101">
        <f>HOUR(M4)</f>
        <v>18</v>
      </c>
      <c r="S27" s="62">
        <f>MINUTE(M4)</f>
        <v>42</v>
      </c>
    </row>
    <row r="28" spans="1:19" ht="12.75" hidden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101"/>
      <c r="S28" s="64">
        <f>TIME(R27,S27,0)</f>
        <v>0.7791666666666667</v>
      </c>
    </row>
    <row r="29" spans="1:18" ht="1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2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1:12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1:12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2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1:12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1:12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1:12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1:12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1:12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1:12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1:12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2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2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</row>
    <row r="114" spans="1:12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</row>
    <row r="123" spans="1:12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</row>
    <row r="124" spans="1:12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</row>
    <row r="125" spans="1:12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2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</row>
    <row r="127" spans="1:12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</row>
    <row r="128" spans="1:12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</row>
    <row r="129" spans="1:12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</row>
    <row r="130" spans="1:12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</row>
    <row r="131" spans="1:12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</row>
    <row r="132" spans="1:12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</row>
    <row r="133" spans="1:12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</row>
    <row r="134" spans="1:12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</row>
    <row r="135" spans="1:12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</row>
    <row r="136" spans="1:12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</row>
    <row r="137" spans="1:12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</row>
    <row r="138" spans="1:12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</row>
    <row r="139" spans="1:12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</row>
    <row r="140" spans="1:12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</row>
    <row r="141" spans="1:12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</row>
    <row r="142" spans="1:12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</row>
    <row r="143" spans="1:12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</row>
    <row r="144" spans="1:12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</row>
    <row r="145" spans="1:12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</row>
    <row r="146" spans="1:12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</row>
    <row r="147" spans="1:12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</row>
    <row r="148" spans="1:12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</row>
    <row r="149" spans="1:12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</row>
    <row r="150" spans="1:12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</row>
    <row r="151" spans="1:12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</row>
    <row r="152" spans="1:12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</row>
    <row r="153" spans="1:12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</row>
    <row r="154" spans="1:12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</row>
    <row r="155" spans="1:12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</row>
    <row r="156" spans="1:12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</row>
  </sheetData>
  <sheetProtection password="F52A" sheet="1" objects="1" scenarios="1"/>
  <mergeCells count="9">
    <mergeCell ref="I17:L17"/>
    <mergeCell ref="B13:D13"/>
    <mergeCell ref="E13:F13"/>
    <mergeCell ref="G13:H13"/>
    <mergeCell ref="J16:K16"/>
    <mergeCell ref="A1:O2"/>
    <mergeCell ref="B6:D6"/>
    <mergeCell ref="E6:F6"/>
    <mergeCell ref="G6:H6"/>
  </mergeCells>
  <conditionalFormatting sqref="G8 G10">
    <cfRule type="expression" priority="1" dxfId="2" stopIfTrue="1">
      <formula>IF(AND($F$8=$F$10,$F$8&lt;&gt;"",$F$10&lt;&gt;""),1,0)</formula>
    </cfRule>
  </conditionalFormatting>
  <conditionalFormatting sqref="G15 G17">
    <cfRule type="expression" priority="2" dxfId="3" stopIfTrue="1">
      <formula>IF(AND($F$15=$F$17,$F$15&lt;&gt;"",$F$17&lt;&gt;""),1,0)</formula>
    </cfRule>
  </conditionalFormatting>
  <conditionalFormatting sqref="J16:K16">
    <cfRule type="cellIs" priority="3" dxfId="4" operator="notEqual" stopIfTrue="1">
      <formula>"CAMPEON"</formula>
    </cfRule>
  </conditionalFormatting>
  <conditionalFormatting sqref="A9:E9">
    <cfRule type="expression" priority="4" dxfId="1" stopIfTrue="1">
      <formula>IF(OR($E$9="en juego",$E$9="hoy!"),1,0)</formula>
    </cfRule>
  </conditionalFormatting>
  <conditionalFormatting sqref="A16:E16">
    <cfRule type="expression" priority="5" dxfId="1" stopIfTrue="1">
      <formula>IF(OR($E$16="en juego",$E$16="hoy!"),1,0)</formula>
    </cfRule>
  </conditionalFormatting>
  <dataValidations count="4">
    <dataValidation type="whole" allowBlank="1" showErrorMessage="1" errorTitle="Dato no válido" error="Ingrese sólo un número entero&#10;entre 0 y 99." sqref="F10:F11 F17">
      <formula1>0</formula1>
      <formula2>99</formula2>
    </dataValidation>
    <dataValidation type="whole" allowBlank="1" showErrorMessage="1" errorTitle="Dato no válido." error="Ingrese sólo un número entero&#10;entre 0 y 99." sqref="F8 F15">
      <formula1>0</formula1>
      <formula2>99</formula2>
    </dataValidation>
    <dataValidation allowBlank="1" showErrorMessage="1" errorTitle="Entrada no válida." error="El resultado del partido debe ser empate." sqref="G11">
      <formula1>0</formula1>
      <formula2>0</formula2>
    </dataValidation>
    <dataValidation type="custom" showErrorMessage="1" errorTitle="Dato no válido" error="Debe introducir antes el resultado del partido." sqref="G8 G10 G15 G17">
      <formula1>IF(F8&lt;&gt;"",1,0)</formula1>
      <formula2>0</formula2>
    </dataValidation>
  </dataValidations>
  <hyperlinks>
    <hyperlink ref="O4" location="Menu!A1" display="Men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tabColor indexed="17"/>
    <pageSetUpPr fitToPage="1"/>
  </sheetPr>
  <dimension ref="B2:AD69"/>
  <sheetViews>
    <sheetView showGridLines="0" showRowColHeaders="0" showOutlineSymbols="0" workbookViewId="0" topLeftCell="A1">
      <selection activeCell="AA60" sqref="AA60:AC61"/>
    </sheetView>
  </sheetViews>
  <sheetFormatPr defaultColWidth="9.140625" defaultRowHeight="12.75"/>
  <cols>
    <col min="1" max="1" width="1.421875" style="149" customWidth="1"/>
    <col min="2" max="2" width="8.57421875" style="149" customWidth="1"/>
    <col min="3" max="3" width="3.140625" style="149" customWidth="1"/>
    <col min="4" max="4" width="0.9921875" style="149" customWidth="1"/>
    <col min="5" max="5" width="3.140625" style="149" customWidth="1"/>
    <col min="6" max="6" width="8.57421875" style="149" customWidth="1"/>
    <col min="7" max="8" width="2.28125" style="149" customWidth="1"/>
    <col min="9" max="9" width="8.7109375" style="149" customWidth="1"/>
    <col min="10" max="10" width="3.140625" style="149" customWidth="1"/>
    <col min="11" max="11" width="0.9921875" style="149" customWidth="1"/>
    <col min="12" max="12" width="3.140625" style="149" customWidth="1"/>
    <col min="13" max="13" width="8.7109375" style="149" customWidth="1"/>
    <col min="14" max="15" width="2.28125" style="149" customWidth="1"/>
    <col min="16" max="16" width="8.8515625" style="149" customWidth="1"/>
    <col min="17" max="17" width="3.140625" style="149" customWidth="1"/>
    <col min="18" max="18" width="0.9921875" style="149" customWidth="1"/>
    <col min="19" max="19" width="3.140625" style="149" customWidth="1"/>
    <col min="20" max="20" width="8.8515625" style="149" customWidth="1"/>
    <col min="21" max="22" width="2.28125" style="149" customWidth="1"/>
    <col min="23" max="23" width="7.421875" style="149" customWidth="1"/>
    <col min="24" max="24" width="3.140625" style="149" customWidth="1"/>
    <col min="25" max="25" width="0.9921875" style="149" customWidth="1"/>
    <col min="26" max="26" width="3.140625" style="149" customWidth="1"/>
    <col min="27" max="27" width="7.421875" style="149" customWidth="1"/>
    <col min="28" max="28" width="0.9921875" style="149" customWidth="1"/>
    <col min="29" max="30" width="6.7109375" style="149" customWidth="1"/>
    <col min="31" max="16384" width="11.421875" style="149" customWidth="1"/>
  </cols>
  <sheetData>
    <row r="1" ht="4.5" customHeight="1"/>
    <row r="2" spans="2:27" ht="12.75">
      <c r="B2" s="224" t="s">
        <v>198</v>
      </c>
      <c r="C2" s="224"/>
      <c r="D2" s="224"/>
      <c r="E2" s="224"/>
      <c r="F2" s="224"/>
      <c r="I2" s="224" t="s">
        <v>199</v>
      </c>
      <c r="J2" s="224"/>
      <c r="K2" s="224"/>
      <c r="L2" s="224"/>
      <c r="M2" s="224"/>
      <c r="P2" s="224" t="s">
        <v>200</v>
      </c>
      <c r="Q2" s="224"/>
      <c r="R2" s="224"/>
      <c r="S2" s="224"/>
      <c r="T2" s="224"/>
      <c r="W2" s="224" t="s">
        <v>201</v>
      </c>
      <c r="X2" s="224"/>
      <c r="Y2" s="224"/>
      <c r="Z2" s="224"/>
      <c r="AA2" s="224"/>
    </row>
    <row r="3" spans="2:27" ht="4.5" customHeigh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</row>
    <row r="4" spans="2:27" ht="12.75">
      <c r="B4" s="187" t="s">
        <v>88</v>
      </c>
      <c r="C4" s="188">
        <f>IF(A조!C6="","",A조!C6)</f>
      </c>
      <c r="D4" s="189"/>
      <c r="E4" s="190">
        <f>IF(A조!E6="","",A조!E6)</f>
      </c>
      <c r="F4" s="191" t="s">
        <v>89</v>
      </c>
      <c r="G4" s="187"/>
      <c r="H4" s="187"/>
      <c r="I4" s="187" t="s">
        <v>92</v>
      </c>
      <c r="J4" s="190">
        <f>IF(B조!C6="","",B조!C6)</f>
      </c>
      <c r="K4" s="189"/>
      <c r="L4" s="190">
        <f>IF(B조!E6="","",B조!E6)</f>
      </c>
      <c r="M4" s="191" t="s">
        <v>93</v>
      </c>
      <c r="N4" s="187"/>
      <c r="O4" s="187"/>
      <c r="P4" s="187" t="s">
        <v>133</v>
      </c>
      <c r="Q4" s="190">
        <f>IF(C조!C6="","",C조!C6)</f>
      </c>
      <c r="R4" s="189"/>
      <c r="S4" s="190">
        <f>IF(C조!E6="","",C조!E6)</f>
      </c>
      <c r="T4" s="176" t="s">
        <v>135</v>
      </c>
      <c r="U4" s="192"/>
      <c r="V4" s="192"/>
      <c r="W4" s="187" t="s">
        <v>136</v>
      </c>
      <c r="X4" s="190">
        <f>IF(D조!C6="","",D조!C6)</f>
      </c>
      <c r="Y4" s="189"/>
      <c r="Z4" s="190">
        <f>IF(D조!E6="","",D조!E6)</f>
      </c>
      <c r="AA4" s="191" t="s">
        <v>139</v>
      </c>
    </row>
    <row r="5" spans="2:27" ht="4.5" customHeight="1">
      <c r="B5" s="187"/>
      <c r="C5" s="189"/>
      <c r="D5" s="189"/>
      <c r="E5" s="189"/>
      <c r="F5" s="191"/>
      <c r="G5" s="187"/>
      <c r="H5" s="187"/>
      <c r="I5" s="187"/>
      <c r="J5" s="189"/>
      <c r="K5" s="189"/>
      <c r="L5" s="189"/>
      <c r="M5" s="191"/>
      <c r="N5" s="187"/>
      <c r="O5" s="187"/>
      <c r="P5" s="187"/>
      <c r="Q5" s="189"/>
      <c r="R5" s="189"/>
      <c r="S5" s="189"/>
      <c r="T5" s="191"/>
      <c r="U5" s="192"/>
      <c r="V5" s="192"/>
      <c r="W5" s="187"/>
      <c r="X5" s="189"/>
      <c r="Y5" s="189"/>
      <c r="Z5" s="189"/>
      <c r="AA5" s="191"/>
    </row>
    <row r="6" spans="2:27" ht="12.75">
      <c r="B6" s="187" t="s">
        <v>90</v>
      </c>
      <c r="C6" s="190">
        <f>IF(A조!C7="","",A조!C7)</f>
      </c>
      <c r="D6" s="189"/>
      <c r="E6" s="190">
        <f>IF(A조!E7="","",A조!E7)</f>
      </c>
      <c r="F6" s="191" t="s">
        <v>91</v>
      </c>
      <c r="G6" s="187"/>
      <c r="H6" s="187"/>
      <c r="I6" s="150" t="s">
        <v>23</v>
      </c>
      <c r="J6" s="190">
        <f>IF(B조!C7="","",B조!C7)</f>
      </c>
      <c r="K6" s="189"/>
      <c r="L6" s="190">
        <f>IF(B조!E7="","",B조!E7)</f>
      </c>
      <c r="M6" s="191" t="s">
        <v>95</v>
      </c>
      <c r="N6" s="187"/>
      <c r="O6" s="187"/>
      <c r="P6" s="187" t="s">
        <v>134</v>
      </c>
      <c r="Q6" s="190">
        <f>IF(C조!C7="","",C조!C7)</f>
      </c>
      <c r="R6" s="189"/>
      <c r="S6" s="190">
        <f>IF(C조!E7="","",C조!E7)</f>
      </c>
      <c r="T6" s="191" t="s">
        <v>157</v>
      </c>
      <c r="U6" s="192"/>
      <c r="V6" s="192"/>
      <c r="W6" s="187" t="s">
        <v>137</v>
      </c>
      <c r="X6" s="190">
        <f>IF(D조!C7="","",D조!C7)</f>
      </c>
      <c r="Y6" s="189"/>
      <c r="Z6" s="190">
        <f>IF(D조!E7="","",D조!E7)</f>
      </c>
      <c r="AA6" s="191" t="s">
        <v>138</v>
      </c>
    </row>
    <row r="7" spans="2:27" ht="4.5" customHeight="1">
      <c r="B7" s="187"/>
      <c r="C7" s="189"/>
      <c r="D7" s="189"/>
      <c r="E7" s="189"/>
      <c r="F7" s="191"/>
      <c r="G7" s="187"/>
      <c r="H7" s="187"/>
      <c r="I7" s="187"/>
      <c r="J7" s="189"/>
      <c r="K7" s="189"/>
      <c r="L7" s="189"/>
      <c r="M7" s="191"/>
      <c r="N7" s="187"/>
      <c r="O7" s="187"/>
      <c r="P7" s="187"/>
      <c r="Q7" s="189"/>
      <c r="R7" s="189"/>
      <c r="S7" s="189"/>
      <c r="T7" s="191"/>
      <c r="U7" s="192"/>
      <c r="V7" s="192"/>
      <c r="W7" s="187"/>
      <c r="X7" s="189"/>
      <c r="Y7" s="189"/>
      <c r="Z7" s="189"/>
      <c r="AA7" s="191"/>
    </row>
    <row r="8" spans="2:27" ht="12.75">
      <c r="B8" s="187" t="str">
        <f>B4</f>
        <v>독일</v>
      </c>
      <c r="C8" s="190">
        <f>IF(A조!C8="","",A조!C8)</f>
      </c>
      <c r="D8" s="189"/>
      <c r="E8" s="190">
        <f>IF(A조!E8="","",A조!E8)</f>
      </c>
      <c r="F8" s="191" t="str">
        <f>B6</f>
        <v>폴란드</v>
      </c>
      <c r="G8" s="187"/>
      <c r="H8" s="187"/>
      <c r="I8" s="187" t="str">
        <f>I4</f>
        <v>잉글랜드</v>
      </c>
      <c r="J8" s="190">
        <f>IF(B조!C8="","",B조!C8)</f>
      </c>
      <c r="K8" s="189"/>
      <c r="L8" s="190">
        <f>IF(B조!E8="","",B조!E8)</f>
      </c>
      <c r="M8" s="152" t="str">
        <f>I6</f>
        <v>T y Tobago</v>
      </c>
      <c r="N8" s="187"/>
      <c r="O8" s="187"/>
      <c r="P8" s="187" t="str">
        <f>P4</f>
        <v>아르헨티나</v>
      </c>
      <c r="Q8" s="190">
        <f>IF(C조!C8="","",C조!C8)</f>
      </c>
      <c r="R8" s="189"/>
      <c r="S8" s="190">
        <f>IF(C조!E8="","",C조!E8)</f>
      </c>
      <c r="T8" s="191" t="str">
        <f>P6</f>
        <v>세르비아</v>
      </c>
      <c r="U8" s="192"/>
      <c r="V8" s="192"/>
      <c r="W8" s="187" t="str">
        <f>W4</f>
        <v>멕시코</v>
      </c>
      <c r="X8" s="190">
        <f>IF(D조!C8="","",D조!C8)</f>
      </c>
      <c r="Y8" s="189"/>
      <c r="Z8" s="190">
        <f>IF(D조!E8="","",D조!E8)</f>
      </c>
      <c r="AA8" s="191" t="str">
        <f>W6</f>
        <v>앙골라</v>
      </c>
    </row>
    <row r="9" spans="2:27" ht="4.5" customHeight="1">
      <c r="B9" s="187"/>
      <c r="C9" s="189"/>
      <c r="D9" s="189"/>
      <c r="E9" s="189"/>
      <c r="F9" s="191"/>
      <c r="G9" s="187"/>
      <c r="H9" s="187"/>
      <c r="I9" s="187"/>
      <c r="J9" s="189"/>
      <c r="K9" s="189"/>
      <c r="L9" s="189"/>
      <c r="M9" s="191"/>
      <c r="N9" s="187"/>
      <c r="O9" s="187"/>
      <c r="P9" s="187"/>
      <c r="Q9" s="189"/>
      <c r="R9" s="189"/>
      <c r="S9" s="189"/>
      <c r="T9" s="191"/>
      <c r="U9" s="192"/>
      <c r="V9" s="192"/>
      <c r="W9" s="187"/>
      <c r="X9" s="189"/>
      <c r="Y9" s="189"/>
      <c r="Z9" s="189"/>
      <c r="AA9" s="191"/>
    </row>
    <row r="10" spans="2:27" ht="12.75">
      <c r="B10" s="187" t="s">
        <v>91</v>
      </c>
      <c r="C10" s="190">
        <f>IF(A조!C9="","",A조!C9)</f>
      </c>
      <c r="D10" s="189"/>
      <c r="E10" s="190">
        <f>IF(A조!E9="","",A조!E9)</f>
      </c>
      <c r="F10" s="191" t="str">
        <f>F4</f>
        <v>코스타리카</v>
      </c>
      <c r="G10" s="187"/>
      <c r="H10" s="187"/>
      <c r="I10" s="187" t="s">
        <v>95</v>
      </c>
      <c r="J10" s="190">
        <f>IF(B조!C9="","",B조!C9)</f>
      </c>
      <c r="K10" s="189"/>
      <c r="L10" s="190">
        <f>IF(B조!E9="","",B조!E9)</f>
      </c>
      <c r="M10" s="191" t="str">
        <f>M4</f>
        <v>파라과이</v>
      </c>
      <c r="N10" s="187"/>
      <c r="O10" s="187"/>
      <c r="P10" s="187" t="s">
        <v>157</v>
      </c>
      <c r="Q10" s="190">
        <f>IF(C조!C9="","",C조!C9)</f>
      </c>
      <c r="R10" s="189"/>
      <c r="S10" s="190">
        <f>IF(C조!E9="","",C조!E9)</f>
      </c>
      <c r="T10" s="177" t="str">
        <f>T4</f>
        <v>코티드브아르</v>
      </c>
      <c r="U10" s="192"/>
      <c r="V10" s="192"/>
      <c r="W10" s="187" t="s">
        <v>138</v>
      </c>
      <c r="X10" s="190">
        <f>IF(D조!C9="","",D조!C9)</f>
      </c>
      <c r="Y10" s="189"/>
      <c r="Z10" s="190">
        <f>IF(D조!E9="","",D조!E9)</f>
      </c>
      <c r="AA10" s="191" t="str">
        <f>AA4</f>
        <v>이란</v>
      </c>
    </row>
    <row r="11" spans="2:27" ht="4.5" customHeight="1">
      <c r="B11" s="187"/>
      <c r="C11" s="189"/>
      <c r="D11" s="189"/>
      <c r="E11" s="189"/>
      <c r="F11" s="191"/>
      <c r="G11" s="187"/>
      <c r="H11" s="187"/>
      <c r="I11" s="187"/>
      <c r="J11" s="189"/>
      <c r="K11" s="189"/>
      <c r="L11" s="189"/>
      <c r="M11" s="191"/>
      <c r="N11" s="187"/>
      <c r="O11" s="187"/>
      <c r="P11" s="187"/>
      <c r="Q11" s="189"/>
      <c r="R11" s="189"/>
      <c r="S11" s="189"/>
      <c r="T11" s="191"/>
      <c r="U11" s="192"/>
      <c r="V11" s="192"/>
      <c r="W11" s="187"/>
      <c r="X11" s="189"/>
      <c r="Y11" s="189"/>
      <c r="Z11" s="189"/>
      <c r="AA11" s="191"/>
    </row>
    <row r="12" spans="2:27" ht="12.75">
      <c r="B12" s="187" t="s">
        <v>91</v>
      </c>
      <c r="C12" s="190">
        <f>IF(A조!C10="","",A조!C10)</f>
      </c>
      <c r="D12" s="189"/>
      <c r="E12" s="190">
        <f>IF(A조!E10="","",A조!E10)</f>
      </c>
      <c r="F12" s="191" t="str">
        <f>B4</f>
        <v>독일</v>
      </c>
      <c r="G12" s="187"/>
      <c r="H12" s="187"/>
      <c r="I12" s="187" t="s">
        <v>95</v>
      </c>
      <c r="J12" s="190">
        <f>IF(B조!C10="","",B조!C10)</f>
      </c>
      <c r="K12" s="189"/>
      <c r="L12" s="190">
        <f>IF(B조!E10="","",B조!E10)</f>
      </c>
      <c r="M12" s="191" t="str">
        <f>I4</f>
        <v>잉글랜드</v>
      </c>
      <c r="N12" s="187"/>
      <c r="O12" s="187"/>
      <c r="P12" s="187" t="s">
        <v>157</v>
      </c>
      <c r="Q12" s="190">
        <f>IF(C조!C10="","",C조!C10)</f>
      </c>
      <c r="R12" s="189"/>
      <c r="S12" s="190">
        <f>IF(C조!E10="","",C조!E10)</f>
      </c>
      <c r="T12" s="191" t="str">
        <f>P4</f>
        <v>아르헨티나</v>
      </c>
      <c r="U12" s="192"/>
      <c r="V12" s="192"/>
      <c r="W12" s="187" t="s">
        <v>138</v>
      </c>
      <c r="X12" s="190">
        <f>IF(D조!C10="","",D조!C10)</f>
      </c>
      <c r="Y12" s="189"/>
      <c r="Z12" s="190">
        <f>IF(D조!E10="","",D조!E10)</f>
      </c>
      <c r="AA12" s="191" t="str">
        <f>W4</f>
        <v>멕시코</v>
      </c>
    </row>
    <row r="13" spans="2:27" ht="4.5" customHeight="1">
      <c r="B13" s="187"/>
      <c r="C13" s="189"/>
      <c r="D13" s="189"/>
      <c r="E13" s="189"/>
      <c r="F13" s="191"/>
      <c r="G13" s="187"/>
      <c r="H13" s="187"/>
      <c r="I13" s="187"/>
      <c r="J13" s="189"/>
      <c r="K13" s="189"/>
      <c r="L13" s="189"/>
      <c r="M13" s="191"/>
      <c r="N13" s="187"/>
      <c r="O13" s="187"/>
      <c r="P13" s="187"/>
      <c r="Q13" s="189"/>
      <c r="R13" s="189"/>
      <c r="S13" s="189"/>
      <c r="T13" s="191"/>
      <c r="U13" s="192"/>
      <c r="V13" s="192"/>
      <c r="W13" s="187"/>
      <c r="X13" s="189"/>
      <c r="Y13" s="189"/>
      <c r="Z13" s="189"/>
      <c r="AA13" s="191"/>
    </row>
    <row r="14" spans="2:27" ht="12.75">
      <c r="B14" s="187" t="s">
        <v>89</v>
      </c>
      <c r="C14" s="190">
        <f>IF(A조!C11="","",A조!C11)</f>
      </c>
      <c r="D14" s="189"/>
      <c r="E14" s="190">
        <f>IF(A조!E11="","",A조!E11)</f>
      </c>
      <c r="F14" s="191" t="str">
        <f>B6</f>
        <v>폴란드</v>
      </c>
      <c r="G14" s="187"/>
      <c r="H14" s="187"/>
      <c r="I14" s="187" t="s">
        <v>93</v>
      </c>
      <c r="J14" s="190">
        <f>IF(B조!C11="","",B조!C11)</f>
      </c>
      <c r="K14" s="189"/>
      <c r="L14" s="190">
        <f>IF(B조!E11="","",B조!E11)</f>
      </c>
      <c r="M14" s="152" t="str">
        <f>I6</f>
        <v>T y Tobago</v>
      </c>
      <c r="N14" s="187"/>
      <c r="O14" s="187"/>
      <c r="P14" s="176" t="s">
        <v>135</v>
      </c>
      <c r="Q14" s="190">
        <f>IF(C조!C11="","",C조!C11)</f>
      </c>
      <c r="R14" s="189"/>
      <c r="S14" s="190">
        <f>IF(C조!E11="","",C조!E11)</f>
      </c>
      <c r="T14" s="191" t="str">
        <f>P6</f>
        <v>세르비아</v>
      </c>
      <c r="U14" s="192"/>
      <c r="V14" s="192"/>
      <c r="W14" s="187" t="s">
        <v>139</v>
      </c>
      <c r="X14" s="190">
        <f>IF(D조!C11="","",D조!C11)</f>
      </c>
      <c r="Y14" s="189"/>
      <c r="Z14" s="190">
        <f>IF(D조!E11="","",D조!E11)</f>
      </c>
      <c r="AA14" s="191" t="str">
        <f>W6</f>
        <v>앙골라</v>
      </c>
    </row>
    <row r="15" ht="4.5" customHeight="1"/>
    <row r="16" spans="2:27" ht="12.75">
      <c r="B16" s="224" t="s">
        <v>202</v>
      </c>
      <c r="C16" s="224"/>
      <c r="D16" s="224"/>
      <c r="E16" s="224"/>
      <c r="F16" s="224"/>
      <c r="I16" s="224" t="s">
        <v>203</v>
      </c>
      <c r="J16" s="224"/>
      <c r="K16" s="224"/>
      <c r="L16" s="224"/>
      <c r="M16" s="224"/>
      <c r="P16" s="224" t="s">
        <v>204</v>
      </c>
      <c r="Q16" s="224"/>
      <c r="R16" s="224"/>
      <c r="S16" s="224"/>
      <c r="T16" s="224"/>
      <c r="W16" s="224" t="s">
        <v>205</v>
      </c>
      <c r="X16" s="224"/>
      <c r="Y16" s="224"/>
      <c r="Z16" s="224"/>
      <c r="AA16" s="224"/>
    </row>
    <row r="17" ht="4.5" customHeight="1"/>
    <row r="18" spans="2:27" ht="12.75">
      <c r="B18" s="187" t="s">
        <v>140</v>
      </c>
      <c r="C18" s="190">
        <f>IF(E조!C6="","",E조!C6)</f>
      </c>
      <c r="D18" s="189"/>
      <c r="E18" s="190">
        <f>IF(E조!E6="","",E조!E6)</f>
      </c>
      <c r="F18" s="191" t="s">
        <v>142</v>
      </c>
      <c r="G18" s="187"/>
      <c r="H18" s="187"/>
      <c r="I18" s="187" t="s">
        <v>144</v>
      </c>
      <c r="J18" s="190">
        <f>IF(F조!C6="","",F조!C6)</f>
      </c>
      <c r="K18" s="189"/>
      <c r="L18" s="190">
        <f>IF(F조!E6="","",F조!E6)</f>
      </c>
      <c r="M18" s="191" t="s">
        <v>147</v>
      </c>
      <c r="N18" s="187"/>
      <c r="O18" s="187"/>
      <c r="P18" s="187" t="s">
        <v>148</v>
      </c>
      <c r="Q18" s="190">
        <f>IF(G조!C6="","",G조!C6)</f>
      </c>
      <c r="R18" s="189"/>
      <c r="S18" s="190">
        <f>IF(G조!E6="","",G조!E6)</f>
      </c>
      <c r="T18" s="191" t="s">
        <v>151</v>
      </c>
      <c r="U18" s="192"/>
      <c r="V18" s="192"/>
      <c r="W18" s="187" t="s">
        <v>154</v>
      </c>
      <c r="X18" s="190">
        <f>IF(H조!C6="","",H조!C6)</f>
      </c>
      <c r="Y18" s="189"/>
      <c r="Z18" s="190">
        <f>IF(H조!E6="","",H조!E6)</f>
      </c>
      <c r="AA18" s="177" t="s">
        <v>155</v>
      </c>
    </row>
    <row r="19" spans="2:27" ht="4.5" customHeight="1">
      <c r="B19" s="187"/>
      <c r="C19" s="189"/>
      <c r="D19" s="189"/>
      <c r="E19" s="189"/>
      <c r="F19" s="191"/>
      <c r="G19" s="187"/>
      <c r="H19" s="187"/>
      <c r="I19" s="187"/>
      <c r="J19" s="189"/>
      <c r="K19" s="189"/>
      <c r="L19" s="189"/>
      <c r="M19" s="191"/>
      <c r="N19" s="187"/>
      <c r="O19" s="187"/>
      <c r="P19" s="187"/>
      <c r="Q19" s="189"/>
      <c r="R19" s="189"/>
      <c r="S19" s="189"/>
      <c r="T19" s="191"/>
      <c r="U19" s="192"/>
      <c r="V19" s="192"/>
      <c r="W19" s="187"/>
      <c r="X19" s="189"/>
      <c r="Y19" s="189"/>
      <c r="Z19" s="189"/>
      <c r="AA19" s="191"/>
    </row>
    <row r="20" spans="2:27" ht="12.75">
      <c r="B20" s="187" t="s">
        <v>143</v>
      </c>
      <c r="C20" s="190">
        <f>IF(E조!C7="","",E조!C7)</f>
      </c>
      <c r="D20" s="189"/>
      <c r="E20" s="190">
        <f>IF(E조!E7="","",E조!E7)</f>
      </c>
      <c r="F20" s="191" t="s">
        <v>141</v>
      </c>
      <c r="G20" s="187"/>
      <c r="H20" s="187"/>
      <c r="I20" s="187" t="s">
        <v>145</v>
      </c>
      <c r="J20" s="190">
        <f>IF(F조!C7="","",F조!C7)</f>
      </c>
      <c r="K20" s="189"/>
      <c r="L20" s="190">
        <f>IF(F조!E7="","",F조!E7)</f>
      </c>
      <c r="M20" s="191" t="s">
        <v>146</v>
      </c>
      <c r="N20" s="187"/>
      <c r="O20" s="187"/>
      <c r="P20" s="187" t="s">
        <v>149</v>
      </c>
      <c r="Q20" s="190">
        <f>IF(G조!C7="","",G조!C7)</f>
      </c>
      <c r="R20" s="189"/>
      <c r="S20" s="190">
        <f>IF(G조!E7="","",G조!E7)</f>
      </c>
      <c r="T20" s="191" t="s">
        <v>150</v>
      </c>
      <c r="U20" s="192"/>
      <c r="V20" s="192"/>
      <c r="W20" s="187" t="s">
        <v>152</v>
      </c>
      <c r="X20" s="190">
        <f>IF(H조!C7="","",H조!C7)</f>
      </c>
      <c r="Y20" s="189"/>
      <c r="Z20" s="190">
        <f>IF(H조!E7="","",H조!E7)</f>
      </c>
      <c r="AA20" s="193" t="s">
        <v>153</v>
      </c>
    </row>
    <row r="21" spans="2:27" ht="4.5" customHeight="1">
      <c r="B21" s="187"/>
      <c r="C21" s="189"/>
      <c r="D21" s="189"/>
      <c r="E21" s="189"/>
      <c r="F21" s="191"/>
      <c r="G21" s="187"/>
      <c r="H21" s="187"/>
      <c r="I21" s="187"/>
      <c r="J21" s="189"/>
      <c r="K21" s="189"/>
      <c r="L21" s="189"/>
      <c r="M21" s="191"/>
      <c r="N21" s="187"/>
      <c r="O21" s="187"/>
      <c r="P21" s="187"/>
      <c r="Q21" s="189"/>
      <c r="R21" s="189"/>
      <c r="S21" s="189"/>
      <c r="T21" s="191"/>
      <c r="U21" s="192"/>
      <c r="V21" s="192"/>
      <c r="W21" s="187"/>
      <c r="X21" s="189"/>
      <c r="Y21" s="189"/>
      <c r="Z21" s="189"/>
      <c r="AA21" s="191"/>
    </row>
    <row r="22" spans="2:27" ht="12.75">
      <c r="B22" s="187" t="str">
        <f>B18</f>
        <v>이탈리아</v>
      </c>
      <c r="C22" s="190">
        <f>IF(E조!C8="","",E조!C8)</f>
      </c>
      <c r="D22" s="189"/>
      <c r="E22" s="190">
        <f>IF(E조!E8="","",E조!E8)</f>
      </c>
      <c r="F22" s="191" t="str">
        <f>B20</f>
        <v>미국</v>
      </c>
      <c r="G22" s="187"/>
      <c r="H22" s="187"/>
      <c r="I22" s="187" t="str">
        <f>I18</f>
        <v>브라질</v>
      </c>
      <c r="J22" s="190">
        <f>IF(F조!C8="","",F조!C8)</f>
      </c>
      <c r="K22" s="189"/>
      <c r="L22" s="190">
        <f>IF(F조!E8="","",F조!E8)</f>
      </c>
      <c r="M22" s="191" t="str">
        <f>I20</f>
        <v>호주</v>
      </c>
      <c r="N22" s="187"/>
      <c r="O22" s="187"/>
      <c r="P22" s="187" t="str">
        <f>P18</f>
        <v>프랑스</v>
      </c>
      <c r="Q22" s="190">
        <f>IF(G조!C8="","",G조!C8)</f>
      </c>
      <c r="R22" s="189"/>
      <c r="S22" s="190">
        <f>IF(G조!E8="","",G조!E8)</f>
      </c>
      <c r="T22" s="191" t="str">
        <f>P20</f>
        <v>대한민국</v>
      </c>
      <c r="U22" s="192"/>
      <c r="V22" s="192"/>
      <c r="W22" s="187" t="str">
        <f>W18</f>
        <v>스페인</v>
      </c>
      <c r="X22" s="190">
        <f>IF(H조!C8="","",H조!C8)</f>
      </c>
      <c r="Y22" s="189"/>
      <c r="Z22" s="190">
        <f>IF(H조!E8="","",H조!E8)</f>
      </c>
      <c r="AA22" s="191" t="str">
        <f>W20</f>
        <v>튀니지</v>
      </c>
    </row>
    <row r="23" spans="2:27" ht="4.5" customHeight="1">
      <c r="B23" s="187"/>
      <c r="C23" s="189"/>
      <c r="D23" s="189"/>
      <c r="E23" s="189"/>
      <c r="F23" s="191"/>
      <c r="G23" s="187"/>
      <c r="H23" s="187"/>
      <c r="I23" s="187"/>
      <c r="J23" s="189"/>
      <c r="K23" s="189"/>
      <c r="L23" s="189"/>
      <c r="M23" s="191"/>
      <c r="N23" s="187"/>
      <c r="O23" s="187"/>
      <c r="P23" s="187"/>
      <c r="Q23" s="189"/>
      <c r="R23" s="189"/>
      <c r="S23" s="189"/>
      <c r="T23" s="191"/>
      <c r="U23" s="192"/>
      <c r="V23" s="192"/>
      <c r="W23" s="187"/>
      <c r="X23" s="189"/>
      <c r="Y23" s="189"/>
      <c r="Z23" s="189"/>
      <c r="AA23" s="191"/>
    </row>
    <row r="24" spans="2:27" ht="12.75">
      <c r="B24" s="187" t="s">
        <v>141</v>
      </c>
      <c r="C24" s="190">
        <f>IF(E조!C9="","",E조!C9)</f>
      </c>
      <c r="D24" s="189"/>
      <c r="E24" s="190">
        <f>IF(E조!E9="","",E조!E9)</f>
      </c>
      <c r="F24" s="191" t="str">
        <f>F18</f>
        <v>가나</v>
      </c>
      <c r="G24" s="187"/>
      <c r="H24" s="187"/>
      <c r="I24" s="187" t="s">
        <v>146</v>
      </c>
      <c r="J24" s="190">
        <f>IF(F조!C9="","",F조!C9)</f>
      </c>
      <c r="K24" s="189"/>
      <c r="L24" s="190">
        <f>IF(F조!E9="","",F조!E9)</f>
      </c>
      <c r="M24" s="191" t="str">
        <f>M18</f>
        <v>크로아티아</v>
      </c>
      <c r="N24" s="187"/>
      <c r="O24" s="187"/>
      <c r="P24" s="187" t="s">
        <v>150</v>
      </c>
      <c r="Q24" s="190">
        <f>IF(G조!C9="","",G조!C9)</f>
      </c>
      <c r="R24" s="189"/>
      <c r="S24" s="190">
        <f>IF(G조!E9="","",G조!E9)</f>
      </c>
      <c r="T24" s="191" t="str">
        <f>T18</f>
        <v>스위스</v>
      </c>
      <c r="U24" s="192"/>
      <c r="V24" s="192"/>
      <c r="W24" s="194" t="s">
        <v>153</v>
      </c>
      <c r="X24" s="190">
        <f>IF(H조!C9="","",H조!C9)</f>
      </c>
      <c r="Y24" s="189"/>
      <c r="Z24" s="190">
        <f>IF(H조!E9="","",H조!E9)</f>
      </c>
      <c r="AA24" s="177" t="str">
        <f>AA18</f>
        <v>우크라이나</v>
      </c>
    </row>
    <row r="25" spans="2:27" ht="4.5" customHeight="1">
      <c r="B25" s="187"/>
      <c r="C25" s="189"/>
      <c r="D25" s="189"/>
      <c r="E25" s="189"/>
      <c r="F25" s="191"/>
      <c r="G25" s="187"/>
      <c r="H25" s="187"/>
      <c r="I25" s="187"/>
      <c r="J25" s="189"/>
      <c r="K25" s="189"/>
      <c r="L25" s="189"/>
      <c r="M25" s="191"/>
      <c r="N25" s="187"/>
      <c r="O25" s="187"/>
      <c r="P25" s="187"/>
      <c r="Q25" s="189"/>
      <c r="R25" s="189"/>
      <c r="S25" s="189"/>
      <c r="T25" s="191"/>
      <c r="U25" s="192"/>
      <c r="V25" s="192"/>
      <c r="W25" s="187"/>
      <c r="X25" s="189"/>
      <c r="Y25" s="189"/>
      <c r="Z25" s="189"/>
      <c r="AA25" s="191"/>
    </row>
    <row r="26" spans="2:27" ht="12.75">
      <c r="B26" s="187" t="s">
        <v>141</v>
      </c>
      <c r="C26" s="190">
        <f>IF(E조!C10="","",E조!C10)</f>
      </c>
      <c r="D26" s="189"/>
      <c r="E26" s="190">
        <f>IF(E조!E10="","",E조!E10)</f>
      </c>
      <c r="F26" s="191" t="str">
        <f>B18</f>
        <v>이탈리아</v>
      </c>
      <c r="G26" s="187"/>
      <c r="H26" s="187"/>
      <c r="I26" s="187" t="s">
        <v>146</v>
      </c>
      <c r="J26" s="190">
        <f>IF(F조!C10="","",F조!C10)</f>
      </c>
      <c r="K26" s="189"/>
      <c r="L26" s="190">
        <f>IF(F조!E10="","",F조!E10)</f>
      </c>
      <c r="M26" s="191" t="str">
        <f>I18</f>
        <v>브라질</v>
      </c>
      <c r="N26" s="187"/>
      <c r="O26" s="187"/>
      <c r="P26" s="187" t="s">
        <v>150</v>
      </c>
      <c r="Q26" s="190">
        <f>IF(G조!C10="","",G조!C10)</f>
      </c>
      <c r="R26" s="189"/>
      <c r="S26" s="190">
        <f>IF(G조!E10="","",G조!E10)</f>
      </c>
      <c r="T26" s="191" t="str">
        <f>P18</f>
        <v>프랑스</v>
      </c>
      <c r="U26" s="192"/>
      <c r="V26" s="192"/>
      <c r="W26" s="193" t="s">
        <v>153</v>
      </c>
      <c r="X26" s="190">
        <f>IF(H조!C10="","",H조!C10)</f>
      </c>
      <c r="Y26" s="189"/>
      <c r="Z26" s="190">
        <f>IF(H조!E10="","",H조!E10)</f>
      </c>
      <c r="AA26" s="191" t="str">
        <f>W18</f>
        <v>스페인</v>
      </c>
    </row>
    <row r="27" spans="2:27" ht="4.5" customHeight="1">
      <c r="B27" s="187"/>
      <c r="C27" s="189"/>
      <c r="D27" s="189"/>
      <c r="E27" s="189"/>
      <c r="F27" s="191"/>
      <c r="G27" s="187"/>
      <c r="H27" s="187"/>
      <c r="I27" s="187"/>
      <c r="J27" s="189"/>
      <c r="K27" s="189"/>
      <c r="L27" s="189"/>
      <c r="M27" s="191"/>
      <c r="N27" s="187"/>
      <c r="O27" s="187"/>
      <c r="P27" s="187"/>
      <c r="Q27" s="189"/>
      <c r="R27" s="189"/>
      <c r="S27" s="189"/>
      <c r="T27" s="191"/>
      <c r="U27" s="192"/>
      <c r="V27" s="192"/>
      <c r="W27" s="187"/>
      <c r="X27" s="189"/>
      <c r="Y27" s="189"/>
      <c r="Z27" s="189"/>
      <c r="AA27" s="191"/>
    </row>
    <row r="28" spans="2:27" ht="12.75">
      <c r="B28" s="187" t="s">
        <v>142</v>
      </c>
      <c r="C28" s="190">
        <f>IF(E조!C11="","",E조!C11)</f>
      </c>
      <c r="D28" s="189"/>
      <c r="E28" s="190">
        <f>IF(E조!E11="","",E조!E11)</f>
      </c>
      <c r="F28" s="191" t="str">
        <f>B20</f>
        <v>미국</v>
      </c>
      <c r="G28" s="187"/>
      <c r="H28" s="187"/>
      <c r="I28" s="187" t="s">
        <v>147</v>
      </c>
      <c r="J28" s="190">
        <f>IF(F조!C11="","",F조!C11)</f>
      </c>
      <c r="K28" s="189"/>
      <c r="L28" s="190">
        <f>IF(F조!E11="","",F조!E11)</f>
      </c>
      <c r="M28" s="191" t="str">
        <f>I20</f>
        <v>호주</v>
      </c>
      <c r="N28" s="187"/>
      <c r="O28" s="187"/>
      <c r="P28" s="187" t="s">
        <v>151</v>
      </c>
      <c r="Q28" s="190">
        <f>IF(G조!C11="","",G조!C11)</f>
      </c>
      <c r="R28" s="189"/>
      <c r="S28" s="190">
        <f>IF(G조!E11="","",G조!E11)</f>
      </c>
      <c r="T28" s="191" t="str">
        <f>P20</f>
        <v>대한민국</v>
      </c>
      <c r="U28" s="192"/>
      <c r="V28" s="192"/>
      <c r="W28" s="176" t="s">
        <v>155</v>
      </c>
      <c r="X28" s="190">
        <f>IF(H조!C11="","",H조!C11)</f>
      </c>
      <c r="Y28" s="189"/>
      <c r="Z28" s="190">
        <f>IF(H조!E11="","",H조!E11)</f>
      </c>
      <c r="AA28" s="191" t="str">
        <f>W20</f>
        <v>튀니지</v>
      </c>
    </row>
    <row r="29" ht="9.75" customHeight="1"/>
    <row r="30" spans="2:27" ht="12.75">
      <c r="B30" s="224" t="s">
        <v>206</v>
      </c>
      <c r="C30" s="224"/>
      <c r="D30" s="224"/>
      <c r="E30" s="224"/>
      <c r="F30" s="224"/>
      <c r="W30" s="153"/>
      <c r="X30" s="153"/>
      <c r="Y30" s="153"/>
      <c r="Z30" s="153"/>
      <c r="AA30" s="153"/>
    </row>
    <row r="31" ht="4.5" customHeight="1"/>
    <row r="32" spans="2:13" s="150" customFormat="1" ht="12.75" customHeight="1">
      <c r="B32" s="225" t="s">
        <v>24</v>
      </c>
      <c r="C32" s="225"/>
      <c r="E32" s="225" t="s">
        <v>25</v>
      </c>
      <c r="F32" s="225"/>
      <c r="I32" s="224" t="s">
        <v>207</v>
      </c>
      <c r="J32" s="224"/>
      <c r="K32" s="224"/>
      <c r="L32" s="224"/>
      <c r="M32" s="224"/>
    </row>
    <row r="33" spans="2:7" s="150" customFormat="1" ht="6" customHeight="1">
      <c r="B33" s="226">
        <f>IF('16강전'!E7="A조 1위","",'16강전'!E7)</f>
      </c>
      <c r="C33" s="227">
        <f>IF('16강전'!F7="","",'16강전'!F7)</f>
      </c>
      <c r="D33" s="151"/>
      <c r="E33" s="227">
        <f>IF('16강전'!F9="","",'16강전'!F9)</f>
      </c>
      <c r="F33" s="226">
        <f>IF('16강전'!E9="B조 2위","",'16강전'!E9)</f>
      </c>
      <c r="G33" s="154"/>
    </row>
    <row r="34" spans="2:7" s="150" customFormat="1" ht="6" customHeight="1">
      <c r="B34" s="226"/>
      <c r="C34" s="227"/>
      <c r="D34" s="151"/>
      <c r="E34" s="227"/>
      <c r="F34" s="226"/>
      <c r="G34" s="155"/>
    </row>
    <row r="35" spans="2:27" s="150" customFormat="1" ht="6" customHeight="1">
      <c r="B35" s="151"/>
      <c r="F35" s="151"/>
      <c r="G35" s="156"/>
      <c r="H35" s="154"/>
      <c r="I35" s="226">
        <f>IF(8강전!E7="OF1","",8강전!E7)</f>
      </c>
      <c r="J35" s="227">
        <f>IF(8강전!F7="","",8강전!F7)</f>
      </c>
      <c r="K35" s="151"/>
      <c r="L35" s="227">
        <f>IF(8강전!F9="","",8강전!F9)</f>
      </c>
      <c r="M35" s="195">
        <f>IF(8강전!E9="OF3","",8강전!E9)</f>
      </c>
      <c r="N35" s="154"/>
      <c r="AA35" s="157"/>
    </row>
    <row r="36" spans="2:14" s="150" customFormat="1" ht="6" customHeight="1">
      <c r="B36" s="151"/>
      <c r="F36" s="151"/>
      <c r="G36" s="156"/>
      <c r="I36" s="226"/>
      <c r="J36" s="227"/>
      <c r="K36" s="151"/>
      <c r="L36" s="227"/>
      <c r="M36" s="195"/>
      <c r="N36" s="155"/>
    </row>
    <row r="37" spans="2:20" s="150" customFormat="1" ht="12.75" customHeight="1">
      <c r="B37" s="225" t="s">
        <v>26</v>
      </c>
      <c r="C37" s="225"/>
      <c r="E37" s="225" t="s">
        <v>27</v>
      </c>
      <c r="F37" s="225"/>
      <c r="G37" s="156"/>
      <c r="N37" s="156"/>
      <c r="P37" s="196" t="s">
        <v>208</v>
      </c>
      <c r="Q37" s="224"/>
      <c r="R37" s="224"/>
      <c r="S37" s="224"/>
      <c r="T37" s="224"/>
    </row>
    <row r="38" spans="2:14" s="150" customFormat="1" ht="6" customHeight="1">
      <c r="B38" s="226">
        <f>IF('16강전'!E15="B조 1위","",'16강전'!E15)</f>
      </c>
      <c r="C38" s="227">
        <f>IF('16강전'!F15="","",'16강전'!F15)</f>
      </c>
      <c r="D38" s="151"/>
      <c r="E38" s="227">
        <f>IF('16강전'!F17="","",'16강전'!F17)</f>
      </c>
      <c r="F38" s="195">
        <f>IF('16강전'!E17="A조 2위","",'16강전'!E17)</f>
      </c>
      <c r="G38" s="158"/>
      <c r="N38" s="156"/>
    </row>
    <row r="39" spans="2:14" s="150" customFormat="1" ht="6" customHeight="1">
      <c r="B39" s="226"/>
      <c r="C39" s="227"/>
      <c r="D39" s="151"/>
      <c r="E39" s="227"/>
      <c r="F39" s="195"/>
      <c r="N39" s="156"/>
    </row>
    <row r="40" spans="2:21" s="150" customFormat="1" ht="6" customHeight="1">
      <c r="B40" s="151"/>
      <c r="F40" s="151"/>
      <c r="N40" s="156"/>
      <c r="O40" s="154"/>
      <c r="P40" s="226">
        <f>IF('4강전(준결승)'!E7="CF1","",'4강전(준결승)'!E7)</f>
      </c>
      <c r="Q40" s="227">
        <f>IF('4강전(준결승)'!F7="","",'4강전(준결승)'!F7)</f>
      </c>
      <c r="R40" s="151"/>
      <c r="S40" s="227">
        <f>IF('4강전(준결승)'!F9="","",'4강전(준결승)'!F9)</f>
      </c>
      <c r="T40" s="195">
        <f>IF('4강전(준결승)'!E9="CF3","",'4강전(준결승)'!E9)</f>
      </c>
      <c r="U40" s="154"/>
    </row>
    <row r="41" spans="2:21" s="150" customFormat="1" ht="6" customHeight="1">
      <c r="B41" s="151"/>
      <c r="F41" s="151"/>
      <c r="N41" s="156"/>
      <c r="P41" s="226"/>
      <c r="Q41" s="227"/>
      <c r="R41" s="151"/>
      <c r="S41" s="227"/>
      <c r="T41" s="195"/>
      <c r="U41" s="155"/>
    </row>
    <row r="42" spans="2:21" s="150" customFormat="1" ht="12.75" customHeight="1">
      <c r="B42" s="225" t="s">
        <v>28</v>
      </c>
      <c r="C42" s="225"/>
      <c r="E42" s="225" t="s">
        <v>29</v>
      </c>
      <c r="F42" s="225"/>
      <c r="N42" s="156"/>
      <c r="U42" s="156"/>
    </row>
    <row r="43" spans="2:21" s="150" customFormat="1" ht="6" customHeight="1">
      <c r="B43" s="226">
        <f>IF('16강전'!E23="E조 1위","",'16강전'!E23)</f>
      </c>
      <c r="C43" s="227">
        <f>IF('16강전'!F23="","",'16강전'!F23)</f>
      </c>
      <c r="D43" s="151"/>
      <c r="E43" s="227">
        <f>IF('16강전'!F25="","",'16강전'!F25)</f>
      </c>
      <c r="F43" s="195">
        <f>IF('16강전'!E25="F조 2위","",'16강전'!E25)</f>
      </c>
      <c r="G43" s="154"/>
      <c r="N43" s="156"/>
      <c r="U43" s="156"/>
    </row>
    <row r="44" spans="2:21" s="150" customFormat="1" ht="6" customHeight="1">
      <c r="B44" s="226"/>
      <c r="C44" s="227"/>
      <c r="D44" s="151"/>
      <c r="E44" s="227"/>
      <c r="F44" s="195"/>
      <c r="G44" s="155"/>
      <c r="N44" s="156"/>
      <c r="U44" s="156"/>
    </row>
    <row r="45" spans="2:30" s="150" customFormat="1" ht="6" customHeight="1">
      <c r="B45" s="151"/>
      <c r="F45" s="151"/>
      <c r="G45" s="156"/>
      <c r="H45" s="154"/>
      <c r="I45" s="226">
        <f>IF(8강전!E11="OF5","",8강전!E11)</f>
      </c>
      <c r="J45" s="229">
        <f>IF(8강전!F11="","",8강전!F11)</f>
      </c>
      <c r="K45" s="159"/>
      <c r="L45" s="227">
        <f>IF(8강전!F13="","",8강전!F13)</f>
      </c>
      <c r="M45" s="195">
        <f>IF(8강전!E13="OF7","",8강전!E13)</f>
      </c>
      <c r="N45" s="158"/>
      <c r="U45" s="156"/>
      <c r="W45" s="224" t="s">
        <v>30</v>
      </c>
      <c r="X45" s="224"/>
      <c r="Y45" s="224"/>
      <c r="Z45" s="224"/>
      <c r="AA45" s="224"/>
      <c r="AC45" s="230"/>
      <c r="AD45" s="230"/>
    </row>
    <row r="46" spans="2:30" s="150" customFormat="1" ht="6" customHeight="1">
      <c r="B46" s="151"/>
      <c r="F46" s="151"/>
      <c r="G46" s="156"/>
      <c r="I46" s="226"/>
      <c r="J46" s="229"/>
      <c r="K46" s="151"/>
      <c r="L46" s="227"/>
      <c r="M46" s="195"/>
      <c r="U46" s="156"/>
      <c r="W46" s="224"/>
      <c r="X46" s="224"/>
      <c r="Y46" s="224"/>
      <c r="Z46" s="224"/>
      <c r="AA46" s="224"/>
      <c r="AC46" s="230"/>
      <c r="AD46" s="230"/>
    </row>
    <row r="47" spans="2:30" s="150" customFormat="1" ht="12.75" customHeight="1">
      <c r="B47" s="225" t="s">
        <v>31</v>
      </c>
      <c r="C47" s="225"/>
      <c r="E47" s="225" t="s">
        <v>32</v>
      </c>
      <c r="F47" s="225"/>
      <c r="G47" s="156"/>
      <c r="U47" s="156"/>
      <c r="AC47" s="228" t="s">
        <v>209</v>
      </c>
      <c r="AD47" s="228"/>
    </row>
    <row r="48" spans="2:30" s="150" customFormat="1" ht="6" customHeight="1">
      <c r="B48" s="226">
        <f>IF('16강전'!E33="F조 1위","",'16강전'!E33)</f>
      </c>
      <c r="C48" s="227">
        <f>IF('16강전'!F33="","",'16강전'!F33)</f>
      </c>
      <c r="D48" s="151"/>
      <c r="E48" s="227">
        <f>IF('16강전'!F35="","",'16강전'!F35)</f>
      </c>
      <c r="F48" s="195">
        <f>IF('16강전'!E35="E조 2위","",'16강전'!E35)</f>
      </c>
      <c r="G48" s="158"/>
      <c r="U48" s="156"/>
      <c r="V48" s="160"/>
      <c r="W48" s="226">
        <f>IF(결승전!E15="SF1","",결승전!E15)</f>
      </c>
      <c r="X48" s="227">
        <f>IF(결승전!F15="","",결승전!F15)</f>
      </c>
      <c r="Y48" s="151"/>
      <c r="Z48" s="227">
        <f>IF(결승전!F17="","",결승전!F17)</f>
      </c>
      <c r="AA48" s="195">
        <f>IF(결승전!E17="SF2","",결승전!E17)</f>
      </c>
      <c r="AB48" s="154"/>
      <c r="AC48" s="227">
        <f>IF(결승전!J16="우승","",결승전!J16)</f>
      </c>
      <c r="AD48" s="227"/>
    </row>
    <row r="49" spans="2:30" s="150" customFormat="1" ht="6" customHeight="1">
      <c r="B49" s="226"/>
      <c r="C49" s="227"/>
      <c r="D49" s="151"/>
      <c r="E49" s="227"/>
      <c r="F49" s="195"/>
      <c r="U49" s="156"/>
      <c r="W49" s="226"/>
      <c r="X49" s="227"/>
      <c r="Y49" s="151"/>
      <c r="Z49" s="227"/>
      <c r="AA49" s="195"/>
      <c r="AC49" s="227"/>
      <c r="AD49" s="227"/>
    </row>
    <row r="50" spans="2:21" s="150" customFormat="1" ht="12.75" customHeight="1">
      <c r="B50" s="151"/>
      <c r="F50" s="151"/>
      <c r="U50" s="156"/>
    </row>
    <row r="51" spans="2:27" s="150" customFormat="1" ht="12.75" customHeight="1">
      <c r="B51" s="151"/>
      <c r="F51" s="151"/>
      <c r="U51" s="156"/>
      <c r="W51" s="224" t="s">
        <v>129</v>
      </c>
      <c r="X51" s="224"/>
      <c r="Y51" s="224"/>
      <c r="Z51" s="224"/>
      <c r="AA51" s="224"/>
    </row>
    <row r="52" spans="2:27" s="150" customFormat="1" ht="12.75" customHeight="1">
      <c r="B52" s="225" t="s">
        <v>33</v>
      </c>
      <c r="C52" s="225"/>
      <c r="E52" s="225" t="s">
        <v>34</v>
      </c>
      <c r="F52" s="225"/>
      <c r="U52" s="156"/>
      <c r="W52" s="161"/>
      <c r="X52" s="161"/>
      <c r="Y52" s="161"/>
      <c r="Z52" s="161"/>
      <c r="AA52" s="161"/>
    </row>
    <row r="53" spans="2:27" s="150" customFormat="1" ht="6" customHeight="1">
      <c r="B53" s="226">
        <f>IF('16강전'!E11="C조 1위","",'16강전'!E11)</f>
      </c>
      <c r="C53" s="227">
        <f>IF('16강전'!F11="","",'16강전'!F11)</f>
      </c>
      <c r="D53" s="151"/>
      <c r="E53" s="227">
        <f>IF('16강전'!F13="","",'16강전'!F13)</f>
      </c>
      <c r="F53" s="195">
        <f>IF('16강전'!E13="D조 2위","",'16강전'!E13)</f>
      </c>
      <c r="G53" s="154"/>
      <c r="U53" s="156"/>
      <c r="V53" s="160"/>
      <c r="W53" s="226">
        <f>IF(결승전!E8="SF1-2","",결승전!E8)</f>
      </c>
      <c r="X53" s="227">
        <f>IF(결승전!F8="","",결승전!F8)</f>
      </c>
      <c r="Y53" s="151"/>
      <c r="Z53" s="227">
        <f>IF(결승전!F10="","",결승전!F10)</f>
      </c>
      <c r="AA53" s="195">
        <f>IF(결승전!E10="SF2-2","",결승전!E10)</f>
      </c>
    </row>
    <row r="54" spans="2:27" s="150" customFormat="1" ht="6" customHeight="1">
      <c r="B54" s="226"/>
      <c r="C54" s="227"/>
      <c r="D54" s="151"/>
      <c r="E54" s="227"/>
      <c r="F54" s="195"/>
      <c r="G54" s="155"/>
      <c r="U54" s="156"/>
      <c r="W54" s="226"/>
      <c r="X54" s="227"/>
      <c r="Y54" s="151"/>
      <c r="Z54" s="227"/>
      <c r="AA54" s="195"/>
    </row>
    <row r="55" spans="2:21" s="150" customFormat="1" ht="6" customHeight="1">
      <c r="B55" s="151"/>
      <c r="F55" s="151"/>
      <c r="G55" s="156"/>
      <c r="H55" s="154"/>
      <c r="I55" s="226">
        <f>IF(8강전!E15="OF2","",8강전!E15)</f>
      </c>
      <c r="J55" s="227">
        <f>IF(8강전!F15="","",8강전!F15)</f>
      </c>
      <c r="K55" s="151"/>
      <c r="L55" s="227">
        <f>IF(8강전!F17="","",8강전!F17)</f>
      </c>
      <c r="M55" s="195">
        <f>IF(8강전!E17="OF4","",8강전!E17)</f>
      </c>
      <c r="N55" s="154"/>
      <c r="U55" s="156"/>
    </row>
    <row r="56" spans="2:21" s="150" customFormat="1" ht="6" customHeight="1">
      <c r="B56" s="151"/>
      <c r="F56" s="151"/>
      <c r="G56" s="156"/>
      <c r="I56" s="226"/>
      <c r="J56" s="227"/>
      <c r="K56" s="151"/>
      <c r="L56" s="227"/>
      <c r="M56" s="195"/>
      <c r="N56" s="155"/>
      <c r="U56" s="156"/>
    </row>
    <row r="57" spans="2:21" s="150" customFormat="1" ht="12.75" customHeight="1">
      <c r="B57" s="225" t="s">
        <v>35</v>
      </c>
      <c r="C57" s="225"/>
      <c r="E57" s="225" t="s">
        <v>36</v>
      </c>
      <c r="F57" s="225"/>
      <c r="G57" s="156"/>
      <c r="N57" s="156"/>
      <c r="U57" s="156"/>
    </row>
    <row r="58" spans="2:21" s="150" customFormat="1" ht="6" customHeight="1">
      <c r="B58" s="226">
        <f>IF('16강전'!E19="D조 1위","",'16강전'!E19)</f>
      </c>
      <c r="C58" s="227">
        <f>IF('16강전'!F19="","",'16강전'!F19)</f>
      </c>
      <c r="D58" s="151"/>
      <c r="E58" s="227">
        <f>IF('16강전'!F21="","",'16강전'!F21)</f>
      </c>
      <c r="F58" s="195">
        <f>IF('16강전'!E21="C조 2위","",'16강전'!E21)</f>
      </c>
      <c r="G58" s="158"/>
      <c r="N58" s="156"/>
      <c r="U58" s="156"/>
    </row>
    <row r="59" spans="2:21" s="150" customFormat="1" ht="6" customHeight="1">
      <c r="B59" s="226"/>
      <c r="C59" s="227"/>
      <c r="D59" s="151"/>
      <c r="E59" s="227"/>
      <c r="F59" s="195"/>
      <c r="N59" s="156"/>
      <c r="U59" s="156"/>
    </row>
    <row r="60" spans="2:29" s="150" customFormat="1" ht="6" customHeight="1">
      <c r="B60" s="151"/>
      <c r="F60" s="151"/>
      <c r="N60" s="156"/>
      <c r="O60" s="154"/>
      <c r="P60" s="226">
        <f>IF('4강전(준결승)'!E11="CF2","",'4강전(준결승)'!E11)</f>
      </c>
      <c r="Q60" s="227">
        <f>IF('4강전(준결승)'!F11="","",'4강전(준결승)'!F11)</f>
      </c>
      <c r="R60" s="151"/>
      <c r="S60" s="227">
        <f>IF('4강전(준결승)'!F13="","",'4강전(준결승)'!F13)</f>
      </c>
      <c r="T60" s="195">
        <f>IF('4강전(준결승)'!E13="CF4","",'4강전(준결승)'!E13)</f>
      </c>
      <c r="U60" s="158"/>
      <c r="AA60" s="231" t="s">
        <v>177</v>
      </c>
      <c r="AB60" s="231" t="s">
        <v>2</v>
      </c>
      <c r="AC60" s="231" t="s">
        <v>2</v>
      </c>
    </row>
    <row r="61" spans="2:29" s="150" customFormat="1" ht="6" customHeight="1">
      <c r="B61" s="151"/>
      <c r="F61" s="151"/>
      <c r="N61" s="156"/>
      <c r="P61" s="226"/>
      <c r="Q61" s="227"/>
      <c r="R61" s="151"/>
      <c r="S61" s="227"/>
      <c r="T61" s="195"/>
      <c r="AA61" s="231" t="s">
        <v>2</v>
      </c>
      <c r="AB61" s="231" t="s">
        <v>2</v>
      </c>
      <c r="AC61" s="231" t="s">
        <v>2</v>
      </c>
    </row>
    <row r="62" spans="2:14" s="150" customFormat="1" ht="12.75" customHeight="1">
      <c r="B62" s="225" t="s">
        <v>37</v>
      </c>
      <c r="C62" s="225"/>
      <c r="E62" s="225" t="s">
        <v>38</v>
      </c>
      <c r="F62" s="225"/>
      <c r="N62" s="156"/>
    </row>
    <row r="63" spans="2:14" s="150" customFormat="1" ht="6" customHeight="1">
      <c r="B63" s="226">
        <f>IF('16강전'!E29="G조 1위","",'16강전'!E7)</f>
      </c>
      <c r="C63" s="227">
        <f>IF('16강전'!F29="","",'16강전'!F29)</f>
      </c>
      <c r="D63" s="151"/>
      <c r="E63" s="227">
        <f>IF('16강전'!F31="","",'16강전'!F31)</f>
      </c>
      <c r="F63" s="195">
        <f>IF('16강전'!E31="H조 2위","",'16강전'!E31)</f>
      </c>
      <c r="G63" s="154"/>
      <c r="N63" s="156"/>
    </row>
    <row r="64" spans="2:14" s="150" customFormat="1" ht="6" customHeight="1">
      <c r="B64" s="226"/>
      <c r="C64" s="227"/>
      <c r="D64" s="151"/>
      <c r="E64" s="227"/>
      <c r="F64" s="195"/>
      <c r="G64" s="155"/>
      <c r="N64" s="156"/>
    </row>
    <row r="65" spans="2:14" s="150" customFormat="1" ht="6" customHeight="1">
      <c r="B65" s="151"/>
      <c r="F65" s="151"/>
      <c r="G65" s="156"/>
      <c r="H65" s="154"/>
      <c r="I65" s="226">
        <f>IF(8강전!E19="OF6","",8강전!E19)</f>
      </c>
      <c r="J65" s="227">
        <f>IF(8강전!F19="","",8강전!F7)</f>
      </c>
      <c r="K65" s="151"/>
      <c r="L65" s="227">
        <f>IF(8강전!F19="","",8강전!F19)</f>
      </c>
      <c r="M65" s="195">
        <f>IF(8강전!E21="OF8","",8강전!E21)</f>
      </c>
      <c r="N65" s="158"/>
    </row>
    <row r="66" spans="2:13" s="150" customFormat="1" ht="6" customHeight="1">
      <c r="B66" s="151"/>
      <c r="F66" s="151"/>
      <c r="G66" s="156"/>
      <c r="I66" s="226"/>
      <c r="J66" s="227"/>
      <c r="K66" s="151"/>
      <c r="L66" s="227"/>
      <c r="M66" s="195"/>
    </row>
    <row r="67" spans="2:7" s="150" customFormat="1" ht="12.75" customHeight="1">
      <c r="B67" s="225" t="s">
        <v>39</v>
      </c>
      <c r="C67" s="225"/>
      <c r="E67" s="225" t="s">
        <v>40</v>
      </c>
      <c r="F67" s="225"/>
      <c r="G67" s="156"/>
    </row>
    <row r="68" spans="2:7" ht="6" customHeight="1">
      <c r="B68" s="232">
        <f>IF('16강전'!E37="H조 1위","",'16강전'!E37)</f>
      </c>
      <c r="C68" s="233">
        <f>IF('16강전'!F37="","",'16강전'!F37)</f>
      </c>
      <c r="D68" s="162"/>
      <c r="E68" s="233">
        <f>IF('16강전'!F39="","",'16강전'!F39)</f>
      </c>
      <c r="F68" s="234">
        <f>IF('16강전'!E39="G조 2위","",'16강전'!E39)</f>
      </c>
      <c r="G68" s="163"/>
    </row>
    <row r="69" spans="2:6" ht="6" customHeight="1">
      <c r="B69" s="232"/>
      <c r="C69" s="233"/>
      <c r="D69" s="162"/>
      <c r="E69" s="233"/>
      <c r="F69" s="234"/>
    </row>
  </sheetData>
  <sheetProtection password="F52A" sheet="1" objects="1" scenarios="1"/>
  <mergeCells count="97">
    <mergeCell ref="B67:C67"/>
    <mergeCell ref="E67:F67"/>
    <mergeCell ref="B68:B69"/>
    <mergeCell ref="C68:C69"/>
    <mergeCell ref="E68:E69"/>
    <mergeCell ref="F68:F69"/>
    <mergeCell ref="I65:I66"/>
    <mergeCell ref="J65:J66"/>
    <mergeCell ref="L65:L66"/>
    <mergeCell ref="M65:M66"/>
    <mergeCell ref="AA60:AC61"/>
    <mergeCell ref="B62:C62"/>
    <mergeCell ref="E62:F62"/>
    <mergeCell ref="B63:B64"/>
    <mergeCell ref="C63:C64"/>
    <mergeCell ref="E63:E64"/>
    <mergeCell ref="F63:F64"/>
    <mergeCell ref="P60:P61"/>
    <mergeCell ref="Q60:Q61"/>
    <mergeCell ref="S60:S61"/>
    <mergeCell ref="T60:T61"/>
    <mergeCell ref="B57:C57"/>
    <mergeCell ref="E57:F57"/>
    <mergeCell ref="B58:B59"/>
    <mergeCell ref="C58:C59"/>
    <mergeCell ref="E58:E59"/>
    <mergeCell ref="F58:F59"/>
    <mergeCell ref="I55:I56"/>
    <mergeCell ref="J55:J56"/>
    <mergeCell ref="L55:L56"/>
    <mergeCell ref="M55:M56"/>
    <mergeCell ref="W53:W54"/>
    <mergeCell ref="X53:X54"/>
    <mergeCell ref="Z53:Z54"/>
    <mergeCell ref="AA53:AA54"/>
    <mergeCell ref="B53:B54"/>
    <mergeCell ref="C53:C54"/>
    <mergeCell ref="E53:E54"/>
    <mergeCell ref="F53:F54"/>
    <mergeCell ref="W51:AA51"/>
    <mergeCell ref="B52:C52"/>
    <mergeCell ref="E52:F52"/>
    <mergeCell ref="W48:W49"/>
    <mergeCell ref="X48:X49"/>
    <mergeCell ref="Z48:Z49"/>
    <mergeCell ref="AA48:AA49"/>
    <mergeCell ref="B48:B49"/>
    <mergeCell ref="C48:C49"/>
    <mergeCell ref="E48:E49"/>
    <mergeCell ref="F48:F49"/>
    <mergeCell ref="W45:AA46"/>
    <mergeCell ref="AC45:AD46"/>
    <mergeCell ref="AC48:AD49"/>
    <mergeCell ref="B47:C47"/>
    <mergeCell ref="E47:F47"/>
    <mergeCell ref="AC47:AD47"/>
    <mergeCell ref="I45:I46"/>
    <mergeCell ref="J45:J46"/>
    <mergeCell ref="L45:L46"/>
    <mergeCell ref="M45:M46"/>
    <mergeCell ref="B42:C42"/>
    <mergeCell ref="E42:F42"/>
    <mergeCell ref="B43:B44"/>
    <mergeCell ref="C43:C44"/>
    <mergeCell ref="E43:E44"/>
    <mergeCell ref="F43:F44"/>
    <mergeCell ref="P40:P41"/>
    <mergeCell ref="Q40:Q41"/>
    <mergeCell ref="S40:S41"/>
    <mergeCell ref="T40:T41"/>
    <mergeCell ref="B37:C37"/>
    <mergeCell ref="E37:F37"/>
    <mergeCell ref="P37:T37"/>
    <mergeCell ref="B38:B39"/>
    <mergeCell ref="C38:C39"/>
    <mergeCell ref="E38:E39"/>
    <mergeCell ref="F38:F39"/>
    <mergeCell ref="I35:I36"/>
    <mergeCell ref="J35:J36"/>
    <mergeCell ref="L35:L36"/>
    <mergeCell ref="M35:M36"/>
    <mergeCell ref="B33:B34"/>
    <mergeCell ref="C33:C34"/>
    <mergeCell ref="E33:E34"/>
    <mergeCell ref="F33:F34"/>
    <mergeCell ref="B30:F30"/>
    <mergeCell ref="B32:C32"/>
    <mergeCell ref="E32:F32"/>
    <mergeCell ref="I32:M32"/>
    <mergeCell ref="B16:F16"/>
    <mergeCell ref="I16:M16"/>
    <mergeCell ref="P16:T16"/>
    <mergeCell ref="W16:AA16"/>
    <mergeCell ref="B2:F2"/>
    <mergeCell ref="I2:M2"/>
    <mergeCell ref="P2:T2"/>
    <mergeCell ref="W2:AA2"/>
  </mergeCells>
  <hyperlinks>
    <hyperlink ref="AA60" location="Portada!A1" display="Menu Principal"/>
    <hyperlink ref="AB60" location="Portada!A1" display="#Portada.A1"/>
    <hyperlink ref="AC60" location="Portada!A1" display="#Portada.A1"/>
    <hyperlink ref="AA61" location="Portada!A1" display="#Portada.A1"/>
    <hyperlink ref="AB61" location="Portada!A1" display="#Portada.A1"/>
    <hyperlink ref="AC61" location="Portada!A1" display="#Portada.A1"/>
    <hyperlink ref="AA60:AC61" location="Menu!A1" display="Menu"/>
  </hyperlinks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3"/>
  <dimension ref="A2:AL55"/>
  <sheetViews>
    <sheetView showGridLines="0" showRowColHeaders="0" showOutlineSymbols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.7109375" style="0" customWidth="1"/>
    <col min="3" max="3" width="1.57421875" style="0" customWidth="1"/>
    <col min="4" max="4" width="2.7109375" style="0" customWidth="1"/>
    <col min="6" max="6" width="10.8515625" style="0" customWidth="1"/>
    <col min="7" max="16384" width="3.7109375" style="0" customWidth="1"/>
  </cols>
  <sheetData>
    <row r="2" spans="1:28" ht="12.75">
      <c r="A2" s="235" t="s">
        <v>41</v>
      </c>
      <c r="B2" s="235"/>
      <c r="C2" s="235"/>
      <c r="D2" s="235"/>
      <c r="E2" s="235"/>
      <c r="G2" t="str">
        <f>H조!Q7</f>
        <v>스페인</v>
      </c>
      <c r="N2" t="str">
        <f>H조!Q9</f>
        <v>우크라이나</v>
      </c>
      <c r="U2" t="str">
        <f>H조!Q11</f>
        <v>튀니지</v>
      </c>
      <c r="AB2" t="str">
        <f>H조!Q13</f>
        <v>사우디아라비아</v>
      </c>
    </row>
    <row r="3" spans="6:33" ht="12.75">
      <c r="F3" t="s">
        <v>42</v>
      </c>
      <c r="G3" t="s">
        <v>43</v>
      </c>
      <c r="H3" t="s">
        <v>44</v>
      </c>
      <c r="I3" t="s">
        <v>45</v>
      </c>
      <c r="J3" t="s">
        <v>46</v>
      </c>
      <c r="K3" t="s">
        <v>47</v>
      </c>
      <c r="L3" t="s">
        <v>48</v>
      </c>
      <c r="N3" t="s">
        <v>43</v>
      </c>
      <c r="O3" t="s">
        <v>44</v>
      </c>
      <c r="P3" t="s">
        <v>45</v>
      </c>
      <c r="Q3" t="s">
        <v>46</v>
      </c>
      <c r="R3" t="s">
        <v>47</v>
      </c>
      <c r="S3" t="s">
        <v>48</v>
      </c>
      <c r="U3" t="s">
        <v>43</v>
      </c>
      <c r="V3" t="s">
        <v>44</v>
      </c>
      <c r="W3" t="s">
        <v>45</v>
      </c>
      <c r="X3" t="s">
        <v>46</v>
      </c>
      <c r="Y3" t="s">
        <v>47</v>
      </c>
      <c r="Z3" t="s">
        <v>48</v>
      </c>
      <c r="AB3" t="s">
        <v>43</v>
      </c>
      <c r="AC3" t="s">
        <v>44</v>
      </c>
      <c r="AD3" t="s">
        <v>45</v>
      </c>
      <c r="AE3" t="s">
        <v>46</v>
      </c>
      <c r="AF3" t="s">
        <v>47</v>
      </c>
      <c r="AG3" t="s">
        <v>48</v>
      </c>
    </row>
    <row r="4" spans="1:33" ht="12.75">
      <c r="A4" s="164" t="str">
        <f>H조!B6</f>
        <v>스페인</v>
      </c>
      <c r="B4" s="165">
        <f>H조!C6</f>
        <v>0</v>
      </c>
      <c r="C4" s="165" t="str">
        <f>H조!D6</f>
        <v>-</v>
      </c>
      <c r="D4" s="165">
        <f>H조!E6</f>
        <v>0</v>
      </c>
      <c r="E4" s="166" t="str">
        <f>H조!F6</f>
        <v>우크라이나</v>
      </c>
      <c r="F4" s="165">
        <f>COUNTBLANK(H조!C6:E6)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164" t="str">
        <f>H조!B7</f>
        <v>튀니지</v>
      </c>
      <c r="B5" s="165">
        <f>H조!C7</f>
        <v>0</v>
      </c>
      <c r="C5" s="165" t="str">
        <f>H조!D7</f>
        <v>-</v>
      </c>
      <c r="D5" s="165">
        <f>H조!E7</f>
        <v>0</v>
      </c>
      <c r="E5" s="166" t="str">
        <f>H조!F7</f>
        <v>사우디아라비아</v>
      </c>
      <c r="F5" s="165">
        <f>COUNTBLANK(H조!C7:E7)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164" t="str">
        <f>H조!B8</f>
        <v>스페인</v>
      </c>
      <c r="B6" s="165">
        <f>H조!C8</f>
        <v>0</v>
      </c>
      <c r="C6" s="165" t="str">
        <f>H조!D8</f>
        <v>-</v>
      </c>
      <c r="D6" s="165">
        <f>H조!E8</f>
        <v>0</v>
      </c>
      <c r="E6" s="166" t="str">
        <f>H조!F8</f>
        <v>튀니지</v>
      </c>
      <c r="F6" s="165">
        <f>COUNTBLANK(H조!C8:E8)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164" t="str">
        <f>H조!B9</f>
        <v>사우디아라비아</v>
      </c>
      <c r="B7" s="165">
        <f>H조!C9</f>
        <v>0</v>
      </c>
      <c r="C7" s="165" t="str">
        <f>H조!D9</f>
        <v>-</v>
      </c>
      <c r="D7" s="165">
        <f>H조!E9</f>
        <v>0</v>
      </c>
      <c r="E7" s="166" t="str">
        <f>H조!F9</f>
        <v>우크라이나</v>
      </c>
      <c r="F7" s="165">
        <f>COUNTBLANK(H조!C9:E9)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164" t="str">
        <f>H조!B10</f>
        <v>사우디아라비아</v>
      </c>
      <c r="B8" s="165">
        <f>H조!C10</f>
        <v>0</v>
      </c>
      <c r="C8" s="165" t="str">
        <f>H조!D10</f>
        <v>-</v>
      </c>
      <c r="D8" s="165">
        <f>H조!E10</f>
        <v>0</v>
      </c>
      <c r="E8" s="166" t="str">
        <f>H조!F10</f>
        <v>스페인</v>
      </c>
      <c r="F8" s="165">
        <f>COUNTBLANK(H조!C10:E10)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164" t="str">
        <f>H조!B11</f>
        <v>우크라이나</v>
      </c>
      <c r="B9" s="165">
        <f>H조!C11</f>
        <v>0</v>
      </c>
      <c r="C9" s="165" t="str">
        <f>H조!D11</f>
        <v>-</v>
      </c>
      <c r="D9" s="165">
        <f>H조!E11</f>
        <v>0</v>
      </c>
      <c r="E9" s="166" t="str">
        <f>H조!F11</f>
        <v>튀니지</v>
      </c>
      <c r="F9" s="165">
        <f>COUNTBLANK(H조!C11:E11)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49</v>
      </c>
    </row>
    <row r="15" spans="7:35" ht="12.75">
      <c r="G15" t="s">
        <v>43</v>
      </c>
      <c r="H15" t="s">
        <v>44</v>
      </c>
      <c r="I15" t="s">
        <v>45</v>
      </c>
      <c r="J15" t="s">
        <v>46</v>
      </c>
      <c r="K15" t="s">
        <v>47</v>
      </c>
      <c r="L15" t="s">
        <v>48</v>
      </c>
      <c r="M15" t="s">
        <v>50</v>
      </c>
      <c r="O15" t="s">
        <v>51</v>
      </c>
      <c r="S15" t="s">
        <v>52</v>
      </c>
      <c r="W15" t="s">
        <v>53</v>
      </c>
      <c r="AA15" t="s">
        <v>54</v>
      </c>
      <c r="AE15" t="s">
        <v>55</v>
      </c>
      <c r="AI15" t="s">
        <v>56</v>
      </c>
    </row>
    <row r="16" spans="6:36" ht="12.75">
      <c r="F16" t="str">
        <f>G2</f>
        <v>스페인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스페인</v>
      </c>
      <c r="P16">
        <f>VLOOKUP(O16,$F$16:$M$25,8,FALSE)</f>
        <v>0</v>
      </c>
      <c r="S16" t="str">
        <f>IF($P16&gt;=$P18,$O16,$O18)</f>
        <v>스페인</v>
      </c>
      <c r="T16">
        <f>VLOOKUP(S16,$O$16:$P$25,2,FALSE)</f>
        <v>0</v>
      </c>
      <c r="W16" t="str">
        <f>IF($T16&gt;=$T19,$S16,$S19)</f>
        <v>스페인</v>
      </c>
      <c r="X16">
        <f>VLOOKUP(W16,$S$16:$T$25,2,FALSE)</f>
        <v>0</v>
      </c>
      <c r="AA16" t="str">
        <f>W16</f>
        <v>스페인</v>
      </c>
      <c r="AB16">
        <f>VLOOKUP(AA16,W16:X25,2,FALSE)</f>
        <v>0</v>
      </c>
      <c r="AE16" t="str">
        <f>AA16</f>
        <v>스페인</v>
      </c>
      <c r="AF16">
        <f>VLOOKUP(AE16,AA16:AB25,2,FALSE)</f>
        <v>0</v>
      </c>
      <c r="AI16" t="str">
        <f>AE16</f>
        <v>스페인</v>
      </c>
      <c r="AJ16">
        <f>VLOOKUP(AI16,AE16:AF25,2,FALSE)</f>
        <v>0</v>
      </c>
    </row>
    <row r="17" spans="6:36" ht="12.75">
      <c r="F17" t="str">
        <f>N2</f>
        <v>우크라이나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우크라이나</v>
      </c>
      <c r="P17">
        <f>VLOOKUP(O17,$F$16:$M$25,8,FALSE)</f>
        <v>0</v>
      </c>
      <c r="S17" t="str">
        <f>O17</f>
        <v>우크라이나</v>
      </c>
      <c r="T17">
        <f>VLOOKUP(S17,$O$16:$P$25,2,FALSE)</f>
        <v>0</v>
      </c>
      <c r="W17" t="str">
        <f>S17</f>
        <v>우크라이나</v>
      </c>
      <c r="X17">
        <f>VLOOKUP(W17,$S$16:$T$25,2,FALSE)</f>
        <v>0</v>
      </c>
      <c r="AA17" t="str">
        <f>IF(X17&gt;=X18,W17,W18)</f>
        <v>우크라이나</v>
      </c>
      <c r="AB17">
        <f>VLOOKUP(AA17,W16:X25,2,FALSE)</f>
        <v>0</v>
      </c>
      <c r="AE17" t="str">
        <f>IF(AB17&gt;=AB19,AA17,AA19)</f>
        <v>우크라이나</v>
      </c>
      <c r="AF17">
        <f>VLOOKUP(AE17,AA16:AB25,2,FALSE)</f>
        <v>0</v>
      </c>
      <c r="AI17" t="str">
        <f>AE17</f>
        <v>우크라이나</v>
      </c>
      <c r="AJ17">
        <f>VLOOKUP(AI17,AE16:AF25,2,FALSE)</f>
        <v>0</v>
      </c>
    </row>
    <row r="18" spans="6:36" ht="12.75">
      <c r="F18" t="str">
        <f>U2</f>
        <v>튀니지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튀니지</v>
      </c>
      <c r="P18">
        <f>VLOOKUP(O18,$F$16:$M$25,8,FALSE)</f>
        <v>0</v>
      </c>
      <c r="S18" t="str">
        <f>IF($P18&lt;=$P16,$O18,$O16)</f>
        <v>튀니지</v>
      </c>
      <c r="T18">
        <f>VLOOKUP(S18,$O$16:$P$25,2,FALSE)</f>
        <v>0</v>
      </c>
      <c r="W18" t="str">
        <f>S18</f>
        <v>튀니지</v>
      </c>
      <c r="X18">
        <f>VLOOKUP(W18,$S$16:$T$25,2,FALSE)</f>
        <v>0</v>
      </c>
      <c r="AA18" t="str">
        <f>IF(X18&lt;=X17,W18,W17)</f>
        <v>튀니지</v>
      </c>
      <c r="AB18">
        <f>VLOOKUP(AA18,W16:X25,2,FALSE)</f>
        <v>0</v>
      </c>
      <c r="AE18" t="str">
        <f>AA18</f>
        <v>튀니지</v>
      </c>
      <c r="AF18">
        <f>VLOOKUP(AE18,AA16:AB25,2,FALSE)</f>
        <v>0</v>
      </c>
      <c r="AI18" t="str">
        <f>IF(AF18&gt;=AF19,AE18,AE19)</f>
        <v>튀니지</v>
      </c>
      <c r="AJ18">
        <f>VLOOKUP(AI18,AE16:AF25,2,FALSE)</f>
        <v>0</v>
      </c>
    </row>
    <row r="19" spans="6:36" ht="12.75">
      <c r="F19" t="str">
        <f>AB2</f>
        <v>사우디아라비아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사우디아라비아</v>
      </c>
      <c r="P19">
        <f>VLOOKUP(O19,$F$16:$M$25,8,FALSE)</f>
        <v>0</v>
      </c>
      <c r="S19" t="str">
        <f>O19</f>
        <v>사우디아라비아</v>
      </c>
      <c r="T19">
        <f>VLOOKUP(S19,$O$16:$P$25,2,FALSE)</f>
        <v>0</v>
      </c>
      <c r="W19" t="str">
        <f>IF($T19&lt;=$T16,$S19,$S16)</f>
        <v>사우디아라비아</v>
      </c>
      <c r="X19">
        <f>VLOOKUP(W19,$S$16:$T$25,2,FALSE)</f>
        <v>0</v>
      </c>
      <c r="AA19" t="str">
        <f>W19</f>
        <v>사우디아라비아</v>
      </c>
      <c r="AB19">
        <f>VLOOKUP(AA19,W16:X25,2,FALSE)</f>
        <v>0</v>
      </c>
      <c r="AE19" t="str">
        <f>IF(AB19&lt;=AB17,AA19,AA17)</f>
        <v>사우디아라비아</v>
      </c>
      <c r="AF19">
        <f>VLOOKUP(AE19,AA16:AB25,2,FALSE)</f>
        <v>0</v>
      </c>
      <c r="AI19" t="str">
        <f>IF(AF19&lt;=AF18,AE19,AE18)</f>
        <v>사우디아라비아</v>
      </c>
      <c r="AJ19">
        <f>VLOOKUP(AI19,AE16:AF25,2,FALSE)</f>
        <v>0</v>
      </c>
    </row>
    <row r="28" spans="6:37" ht="12.75">
      <c r="F28" t="str">
        <f>AI16</f>
        <v>스페인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스페인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스페인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스페인</v>
      </c>
      <c r="X28">
        <f>VLOOKUP(W28,$S$28:$U$37,2,FALSE)</f>
        <v>0</v>
      </c>
      <c r="Y28">
        <f>VLOOKUP(W28,$S$28:$U$37,3,FALSE)</f>
        <v>0</v>
      </c>
      <c r="AA28" t="str">
        <f>W28</f>
        <v>스페인</v>
      </c>
      <c r="AB28">
        <f>VLOOKUP(AA28,W28:Y37,2,FALSE)</f>
        <v>0</v>
      </c>
      <c r="AC28">
        <f>VLOOKUP(AA28,W28:Y37,3,FALSE)</f>
        <v>0</v>
      </c>
      <c r="AE28" t="str">
        <f>AA28</f>
        <v>스페인</v>
      </c>
      <c r="AF28">
        <f>VLOOKUP(AE28,AA28:AC37,2,FALSE)</f>
        <v>0</v>
      </c>
      <c r="AG28">
        <f>VLOOKUP(AE28,AA28:AC37,3,FALSE)</f>
        <v>0</v>
      </c>
      <c r="AI28" t="str">
        <f>AE28</f>
        <v>스페인</v>
      </c>
      <c r="AJ28">
        <f>VLOOKUP(AI28,AE28:AG37,2,FALSE)</f>
        <v>0</v>
      </c>
      <c r="AK28">
        <f>VLOOKUP(AI28,AE28:AG37,3,FALSE)</f>
        <v>0</v>
      </c>
    </row>
    <row r="29" spans="6:37" ht="12.75">
      <c r="F29" t="str">
        <f>AI17</f>
        <v>우크라이나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우크라이나</v>
      </c>
      <c r="P29">
        <f>VLOOKUP(O29,$F$28:$M$37,5,FALSE)</f>
        <v>0</v>
      </c>
      <c r="Q29">
        <f>VLOOKUP(O29,$F$28:$M$37,8,FALSE)</f>
        <v>0</v>
      </c>
      <c r="S29" t="str">
        <f>O29</f>
        <v>우크라이나</v>
      </c>
      <c r="T29">
        <f>VLOOKUP(S29,$O$28:$Q$37,2,FALSE)</f>
        <v>0</v>
      </c>
      <c r="U29">
        <f>VLOOKUP(S29,$O$28:$Q$37,3,FALSE)</f>
        <v>0</v>
      </c>
      <c r="W29" t="str">
        <f>S29</f>
        <v>우크라이나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우크라이나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우크라이나</v>
      </c>
      <c r="AF29">
        <f>VLOOKUP(AE29,AA28:AC37,2,FALSE)</f>
        <v>0</v>
      </c>
      <c r="AG29">
        <f>VLOOKUP(AE29,AA28:AC37,3,FALSE)</f>
        <v>0</v>
      </c>
      <c r="AI29" t="str">
        <f>AE29</f>
        <v>우크라이나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튀니지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튀니지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튀니지</v>
      </c>
      <c r="T30">
        <f>VLOOKUP(S30,$O$28:$Q$37,2,FALSE)</f>
        <v>0</v>
      </c>
      <c r="U30">
        <f>VLOOKUP(S30,$O$28:$Q$37,3,FALSE)</f>
        <v>0</v>
      </c>
      <c r="W30" t="str">
        <f>S30</f>
        <v>튀니지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튀니지</v>
      </c>
      <c r="AB30">
        <f>VLOOKUP(AA30,W28:Y37,2,FALSE)</f>
        <v>0</v>
      </c>
      <c r="AC30">
        <f>VLOOKUP(AA30,W28:Y37,3,FALSE)</f>
        <v>0</v>
      </c>
      <c r="AE30" t="str">
        <f>AA30</f>
        <v>튀니지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튀니지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사우디아라비아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사우디아라비아</v>
      </c>
      <c r="P31">
        <f>VLOOKUP(O31,$F$28:$M$37,5,FALSE)</f>
        <v>0</v>
      </c>
      <c r="Q31">
        <f>VLOOKUP(O31,$F$28:$M$37,8,FALSE)</f>
        <v>0</v>
      </c>
      <c r="S31" t="str">
        <f>O31</f>
        <v>사우디아라비아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사우디아라비아</v>
      </c>
      <c r="X31">
        <f>VLOOKUP(W31,$S$28:$U$37,2,FALSE)</f>
        <v>0</v>
      </c>
      <c r="Y31">
        <f>VLOOKUP(W31,$S$28:$U$37,3,FALSE)</f>
        <v>0</v>
      </c>
      <c r="AA31" t="str">
        <f>W31</f>
        <v>사우디아라비아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사우디아라비아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사우디아라비아</v>
      </c>
      <c r="AJ31">
        <f>VLOOKUP(AI31,AE28:AG37,2,FALSE)</f>
        <v>0</v>
      </c>
      <c r="AK31">
        <f>VLOOKUP(AI31,AE28:AG37,3,FALSE)</f>
        <v>0</v>
      </c>
    </row>
    <row r="40" spans="6:38" ht="12.75">
      <c r="F40" t="str">
        <f>AI28</f>
        <v>스페인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스페인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스페인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스페인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스페인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스페인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스페인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 t="str">
        <f>AI29</f>
        <v>우크라이나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우크라이나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우크라이나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우크라이나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우크라이나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우크라이나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우크라이나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튀니지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튀니지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튀니지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튀니지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튀니지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튀니지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튀니지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사우디아라비아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사우디아라비아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사우디아라비아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사우디아라비아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사우디아라비아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사우디아라비아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사우디아라비아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57</v>
      </c>
    </row>
    <row r="52" spans="6:13" ht="12.75">
      <c r="F52" t="str">
        <f>AI40</f>
        <v>스페인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 t="str">
        <f>AI41</f>
        <v>우크라이나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튀니지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사우디아라비아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mergeCells count="1"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0"/>
  <dimension ref="A2:AL55"/>
  <sheetViews>
    <sheetView showGridLines="0" showRowColHeaders="0" showOutlineSymbols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.7109375" style="0" customWidth="1"/>
    <col min="3" max="3" width="1.57421875" style="0" customWidth="1"/>
    <col min="4" max="4" width="2.7109375" style="0" customWidth="1"/>
    <col min="6" max="6" width="10.8515625" style="0" customWidth="1"/>
    <col min="7" max="16384" width="3.7109375" style="0" customWidth="1"/>
  </cols>
  <sheetData>
    <row r="2" spans="1:28" ht="12.75">
      <c r="A2" s="235" t="s">
        <v>41</v>
      </c>
      <c r="B2" s="235"/>
      <c r="C2" s="235"/>
      <c r="D2" s="235"/>
      <c r="E2" s="235"/>
      <c r="G2" t="str">
        <f>G조!Q7</f>
        <v>프랑스</v>
      </c>
      <c r="N2" t="str">
        <f>G조!Q9</f>
        <v>스위스</v>
      </c>
      <c r="U2" t="str">
        <f>G조!Q11</f>
        <v>대한민국</v>
      </c>
      <c r="AB2" t="str">
        <f>G조!Q13</f>
        <v>토고</v>
      </c>
    </row>
    <row r="3" spans="6:33" ht="12.75">
      <c r="F3" t="s">
        <v>42</v>
      </c>
      <c r="G3" t="s">
        <v>43</v>
      </c>
      <c r="H3" t="s">
        <v>44</v>
      </c>
      <c r="I3" t="s">
        <v>45</v>
      </c>
      <c r="J3" t="s">
        <v>46</v>
      </c>
      <c r="K3" t="s">
        <v>47</v>
      </c>
      <c r="L3" t="s">
        <v>48</v>
      </c>
      <c r="N3" t="s">
        <v>43</v>
      </c>
      <c r="O3" t="s">
        <v>44</v>
      </c>
      <c r="P3" t="s">
        <v>45</v>
      </c>
      <c r="Q3" t="s">
        <v>46</v>
      </c>
      <c r="R3" t="s">
        <v>47</v>
      </c>
      <c r="S3" t="s">
        <v>48</v>
      </c>
      <c r="U3" t="s">
        <v>43</v>
      </c>
      <c r="V3" t="s">
        <v>44</v>
      </c>
      <c r="W3" t="s">
        <v>45</v>
      </c>
      <c r="X3" t="s">
        <v>46</v>
      </c>
      <c r="Y3" t="s">
        <v>47</v>
      </c>
      <c r="Z3" t="s">
        <v>48</v>
      </c>
      <c r="AB3" t="s">
        <v>43</v>
      </c>
      <c r="AC3" t="s">
        <v>44</v>
      </c>
      <c r="AD3" t="s">
        <v>45</v>
      </c>
      <c r="AE3" t="s">
        <v>46</v>
      </c>
      <c r="AF3" t="s">
        <v>47</v>
      </c>
      <c r="AG3" t="s">
        <v>48</v>
      </c>
    </row>
    <row r="4" spans="1:33" ht="12.75">
      <c r="A4" s="164" t="str">
        <f>G조!B6</f>
        <v>프랑스</v>
      </c>
      <c r="B4" s="165">
        <f>G조!C6</f>
        <v>0</v>
      </c>
      <c r="C4" s="165" t="str">
        <f>G조!D6</f>
        <v>-</v>
      </c>
      <c r="D4" s="165">
        <f>G조!E6</f>
        <v>0</v>
      </c>
      <c r="E4" s="166" t="str">
        <f>G조!F6</f>
        <v>스위스</v>
      </c>
      <c r="F4" s="165">
        <f>COUNTBLANK(G조!C6:E6)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164" t="str">
        <f>G조!B7</f>
        <v>대한민국</v>
      </c>
      <c r="B5" s="165">
        <f>G조!C7</f>
        <v>0</v>
      </c>
      <c r="C5" s="165" t="str">
        <f>G조!D7</f>
        <v>-</v>
      </c>
      <c r="D5" s="165">
        <f>G조!E7</f>
        <v>0</v>
      </c>
      <c r="E5" s="166" t="str">
        <f>G조!F7</f>
        <v>토고</v>
      </c>
      <c r="F5" s="165">
        <f>COUNTBLANK(G조!C7:E7)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164" t="str">
        <f>G조!B8</f>
        <v>프랑스</v>
      </c>
      <c r="B6" s="165">
        <f>G조!C8</f>
        <v>0</v>
      </c>
      <c r="C6" s="165" t="str">
        <f>G조!D8</f>
        <v>-</v>
      </c>
      <c r="D6" s="165">
        <f>G조!E8</f>
        <v>0</v>
      </c>
      <c r="E6" s="166" t="str">
        <f>G조!F8</f>
        <v>대한민국</v>
      </c>
      <c r="F6" s="165">
        <f>COUNTBLANK(G조!C8:E8)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164" t="str">
        <f>G조!B9</f>
        <v>토고</v>
      </c>
      <c r="B7" s="165">
        <f>G조!C9</f>
        <v>0</v>
      </c>
      <c r="C7" s="165" t="str">
        <f>G조!D9</f>
        <v>-</v>
      </c>
      <c r="D7" s="165">
        <f>G조!E9</f>
        <v>0</v>
      </c>
      <c r="E7" s="166" t="str">
        <f>G조!F9</f>
        <v>스위스</v>
      </c>
      <c r="F7" s="165">
        <f>COUNTBLANK(G조!C9:E9)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164" t="str">
        <f>G조!B10</f>
        <v>토고</v>
      </c>
      <c r="B8" s="165">
        <f>G조!C10</f>
        <v>0</v>
      </c>
      <c r="C8" s="165" t="str">
        <f>G조!D10</f>
        <v>-</v>
      </c>
      <c r="D8" s="165">
        <f>G조!E10</f>
        <v>0</v>
      </c>
      <c r="E8" s="166" t="str">
        <f>G조!F10</f>
        <v>프랑스</v>
      </c>
      <c r="F8" s="165">
        <f>COUNTBLANK(G조!C10:E10)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164" t="str">
        <f>G조!B11</f>
        <v>스위스</v>
      </c>
      <c r="B9" s="165">
        <f>G조!C11</f>
        <v>0</v>
      </c>
      <c r="C9" s="165" t="str">
        <f>G조!D11</f>
        <v>-</v>
      </c>
      <c r="D9" s="165">
        <f>G조!E11</f>
        <v>0</v>
      </c>
      <c r="E9" s="166" t="str">
        <f>G조!F11</f>
        <v>대한민국</v>
      </c>
      <c r="F9" s="165">
        <f>COUNTBLANK(G조!C11:E11)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49</v>
      </c>
    </row>
    <row r="15" spans="7:35" ht="12.75">
      <c r="G15" t="s">
        <v>43</v>
      </c>
      <c r="H15" t="s">
        <v>44</v>
      </c>
      <c r="I15" t="s">
        <v>45</v>
      </c>
      <c r="J15" t="s">
        <v>46</v>
      </c>
      <c r="K15" t="s">
        <v>47</v>
      </c>
      <c r="L15" t="s">
        <v>48</v>
      </c>
      <c r="M15" t="s">
        <v>50</v>
      </c>
      <c r="O15" t="s">
        <v>51</v>
      </c>
      <c r="S15" t="s">
        <v>52</v>
      </c>
      <c r="W15" t="s">
        <v>53</v>
      </c>
      <c r="AA15" t="s">
        <v>54</v>
      </c>
      <c r="AE15" t="s">
        <v>55</v>
      </c>
      <c r="AI15" t="s">
        <v>56</v>
      </c>
    </row>
    <row r="16" spans="6:36" ht="12.75">
      <c r="F16" t="str">
        <f>G2</f>
        <v>프랑스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프랑스</v>
      </c>
      <c r="P16">
        <f>VLOOKUP(O16,$F$16:$M$25,8,FALSE)</f>
        <v>0</v>
      </c>
      <c r="S16" t="str">
        <f>IF($P16&gt;=$P18,$O16,$O18)</f>
        <v>프랑스</v>
      </c>
      <c r="T16">
        <f>VLOOKUP(S16,$O$16:$P$25,2,FALSE)</f>
        <v>0</v>
      </c>
      <c r="W16" t="str">
        <f>IF($T16&gt;=$T19,$S16,$S19)</f>
        <v>프랑스</v>
      </c>
      <c r="X16">
        <f>VLOOKUP(W16,$S$16:$T$25,2,FALSE)</f>
        <v>0</v>
      </c>
      <c r="AA16" t="str">
        <f>W16</f>
        <v>프랑스</v>
      </c>
      <c r="AB16">
        <f>VLOOKUP(AA16,W16:X25,2,FALSE)</f>
        <v>0</v>
      </c>
      <c r="AE16" t="str">
        <f>AA16</f>
        <v>프랑스</v>
      </c>
      <c r="AF16">
        <f>VLOOKUP(AE16,AA16:AB25,2,FALSE)</f>
        <v>0</v>
      </c>
      <c r="AI16" t="str">
        <f>AE16</f>
        <v>프랑스</v>
      </c>
      <c r="AJ16">
        <f>VLOOKUP(AI16,AE16:AF25,2,FALSE)</f>
        <v>0</v>
      </c>
    </row>
    <row r="17" spans="6:36" ht="12.75">
      <c r="F17" t="str">
        <f>N2</f>
        <v>스위스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스위스</v>
      </c>
      <c r="P17">
        <f>VLOOKUP(O17,$F$16:$M$25,8,FALSE)</f>
        <v>0</v>
      </c>
      <c r="S17" t="str">
        <f>O17</f>
        <v>스위스</v>
      </c>
      <c r="T17">
        <f>VLOOKUP(S17,$O$16:$P$25,2,FALSE)</f>
        <v>0</v>
      </c>
      <c r="W17" t="str">
        <f>S17</f>
        <v>스위스</v>
      </c>
      <c r="X17">
        <f>VLOOKUP(W17,$S$16:$T$25,2,FALSE)</f>
        <v>0</v>
      </c>
      <c r="AA17" t="str">
        <f>IF(X17&gt;=X18,W17,W18)</f>
        <v>스위스</v>
      </c>
      <c r="AB17">
        <f>VLOOKUP(AA17,W16:X25,2,FALSE)</f>
        <v>0</v>
      </c>
      <c r="AE17" t="str">
        <f>IF(AB17&gt;=AB19,AA17,AA19)</f>
        <v>스위스</v>
      </c>
      <c r="AF17">
        <f>VLOOKUP(AE17,AA16:AB25,2,FALSE)</f>
        <v>0</v>
      </c>
      <c r="AI17" t="str">
        <f>AE17</f>
        <v>스위스</v>
      </c>
      <c r="AJ17">
        <f>VLOOKUP(AI17,AE16:AF25,2,FALSE)</f>
        <v>0</v>
      </c>
    </row>
    <row r="18" spans="6:36" ht="12.75">
      <c r="F18" t="str">
        <f>U2</f>
        <v>대한민국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대한민국</v>
      </c>
      <c r="P18">
        <f>VLOOKUP(O18,$F$16:$M$25,8,FALSE)</f>
        <v>0</v>
      </c>
      <c r="S18" t="str">
        <f>IF($P18&lt;=$P16,$O18,$O16)</f>
        <v>대한민국</v>
      </c>
      <c r="T18">
        <f>VLOOKUP(S18,$O$16:$P$25,2,FALSE)</f>
        <v>0</v>
      </c>
      <c r="W18" t="str">
        <f>S18</f>
        <v>대한민국</v>
      </c>
      <c r="X18">
        <f>VLOOKUP(W18,$S$16:$T$25,2,FALSE)</f>
        <v>0</v>
      </c>
      <c r="AA18" t="str">
        <f>IF(X18&lt;=X17,W18,W17)</f>
        <v>대한민국</v>
      </c>
      <c r="AB18">
        <f>VLOOKUP(AA18,W16:X25,2,FALSE)</f>
        <v>0</v>
      </c>
      <c r="AE18" t="str">
        <f>AA18</f>
        <v>대한민국</v>
      </c>
      <c r="AF18">
        <f>VLOOKUP(AE18,AA16:AB25,2,FALSE)</f>
        <v>0</v>
      </c>
      <c r="AI18" t="str">
        <f>IF(AF18&gt;=AF19,AE18,AE19)</f>
        <v>대한민국</v>
      </c>
      <c r="AJ18">
        <f>VLOOKUP(AI18,AE16:AF25,2,FALSE)</f>
        <v>0</v>
      </c>
    </row>
    <row r="19" spans="6:36" ht="12.75">
      <c r="F19" t="str">
        <f>AB2</f>
        <v>토고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토고</v>
      </c>
      <c r="P19">
        <f>VLOOKUP(O19,$F$16:$M$25,8,FALSE)</f>
        <v>0</v>
      </c>
      <c r="S19" t="str">
        <f>O19</f>
        <v>토고</v>
      </c>
      <c r="T19">
        <f>VLOOKUP(S19,$O$16:$P$25,2,FALSE)</f>
        <v>0</v>
      </c>
      <c r="W19" t="str">
        <f>IF($T19&lt;=$T16,$S19,$S16)</f>
        <v>토고</v>
      </c>
      <c r="X19">
        <f>VLOOKUP(W19,$S$16:$T$25,2,FALSE)</f>
        <v>0</v>
      </c>
      <c r="AA19" t="str">
        <f>W19</f>
        <v>토고</v>
      </c>
      <c r="AB19">
        <f>VLOOKUP(AA19,W16:X25,2,FALSE)</f>
        <v>0</v>
      </c>
      <c r="AE19" t="str">
        <f>IF(AB19&lt;=AB17,AA19,AA17)</f>
        <v>토고</v>
      </c>
      <c r="AF19">
        <f>VLOOKUP(AE19,AA16:AB25,2,FALSE)</f>
        <v>0</v>
      </c>
      <c r="AI19" t="str">
        <f>IF(AF19&lt;=AF18,AE19,AE18)</f>
        <v>토고</v>
      </c>
      <c r="AJ19">
        <f>VLOOKUP(AI19,AE16:AF25,2,FALSE)</f>
        <v>0</v>
      </c>
    </row>
    <row r="28" spans="6:37" ht="12.75">
      <c r="F28" t="str">
        <f>AI16</f>
        <v>프랑스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프랑스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프랑스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프랑스</v>
      </c>
      <c r="X28">
        <f>VLOOKUP(W28,$S$28:$U$37,2,FALSE)</f>
        <v>0</v>
      </c>
      <c r="Y28">
        <f>VLOOKUP(W28,$S$28:$U$37,3,FALSE)</f>
        <v>0</v>
      </c>
      <c r="AA28" t="str">
        <f>W28</f>
        <v>프랑스</v>
      </c>
      <c r="AB28">
        <f>VLOOKUP(AA28,W28:Y37,2,FALSE)</f>
        <v>0</v>
      </c>
      <c r="AC28">
        <f>VLOOKUP(AA28,W28:Y37,3,FALSE)</f>
        <v>0</v>
      </c>
      <c r="AE28" t="str">
        <f>AA28</f>
        <v>프랑스</v>
      </c>
      <c r="AF28">
        <f>VLOOKUP(AE28,AA28:AC37,2,FALSE)</f>
        <v>0</v>
      </c>
      <c r="AG28">
        <f>VLOOKUP(AE28,AA28:AC37,3,FALSE)</f>
        <v>0</v>
      </c>
      <c r="AI28" t="str">
        <f>AE28</f>
        <v>프랑스</v>
      </c>
      <c r="AJ28">
        <f>VLOOKUP(AI28,AE28:AG37,2,FALSE)</f>
        <v>0</v>
      </c>
      <c r="AK28">
        <f>VLOOKUP(AI28,AE28:AG37,3,FALSE)</f>
        <v>0</v>
      </c>
    </row>
    <row r="29" spans="6:37" ht="12.75">
      <c r="F29" t="str">
        <f>AI17</f>
        <v>스위스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스위스</v>
      </c>
      <c r="P29">
        <f>VLOOKUP(O29,$F$28:$M$37,5,FALSE)</f>
        <v>0</v>
      </c>
      <c r="Q29">
        <f>VLOOKUP(O29,$F$28:$M$37,8,FALSE)</f>
        <v>0</v>
      </c>
      <c r="S29" t="str">
        <f>O29</f>
        <v>스위스</v>
      </c>
      <c r="T29">
        <f>VLOOKUP(S29,$O$28:$Q$37,2,FALSE)</f>
        <v>0</v>
      </c>
      <c r="U29">
        <f>VLOOKUP(S29,$O$28:$Q$37,3,FALSE)</f>
        <v>0</v>
      </c>
      <c r="W29" t="str">
        <f>S29</f>
        <v>스위스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스위스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스위스</v>
      </c>
      <c r="AF29">
        <f>VLOOKUP(AE29,AA28:AC37,2,FALSE)</f>
        <v>0</v>
      </c>
      <c r="AG29">
        <f>VLOOKUP(AE29,AA28:AC37,3,FALSE)</f>
        <v>0</v>
      </c>
      <c r="AI29" t="str">
        <f>AE29</f>
        <v>스위스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대한민국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대한민국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대한민국</v>
      </c>
      <c r="T30">
        <f>VLOOKUP(S30,$O$28:$Q$37,2,FALSE)</f>
        <v>0</v>
      </c>
      <c r="U30">
        <f>VLOOKUP(S30,$O$28:$Q$37,3,FALSE)</f>
        <v>0</v>
      </c>
      <c r="W30" t="str">
        <f>S30</f>
        <v>대한민국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대한민국</v>
      </c>
      <c r="AB30">
        <f>VLOOKUP(AA30,W28:Y37,2,FALSE)</f>
        <v>0</v>
      </c>
      <c r="AC30">
        <f>VLOOKUP(AA30,W28:Y37,3,FALSE)</f>
        <v>0</v>
      </c>
      <c r="AE30" t="str">
        <f>AA30</f>
        <v>대한민국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대한민국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토고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토고</v>
      </c>
      <c r="P31">
        <f>VLOOKUP(O31,$F$28:$M$37,5,FALSE)</f>
        <v>0</v>
      </c>
      <c r="Q31">
        <f>VLOOKUP(O31,$F$28:$M$37,8,FALSE)</f>
        <v>0</v>
      </c>
      <c r="S31" t="str">
        <f>O31</f>
        <v>토고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토고</v>
      </c>
      <c r="X31">
        <f>VLOOKUP(W31,$S$28:$U$37,2,FALSE)</f>
        <v>0</v>
      </c>
      <c r="Y31">
        <f>VLOOKUP(W31,$S$28:$U$37,3,FALSE)</f>
        <v>0</v>
      </c>
      <c r="AA31" t="str">
        <f>W31</f>
        <v>토고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토고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토고</v>
      </c>
      <c r="AJ31">
        <f>VLOOKUP(AI31,AE28:AG37,2,FALSE)</f>
        <v>0</v>
      </c>
      <c r="AK31">
        <f>VLOOKUP(AI31,AE28:AG37,3,FALSE)</f>
        <v>0</v>
      </c>
    </row>
    <row r="40" spans="6:38" ht="12.75">
      <c r="F40" t="str">
        <f>AI28</f>
        <v>프랑스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프랑스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프랑스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프랑스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프랑스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프랑스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프랑스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 t="str">
        <f>AI29</f>
        <v>스위스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스위스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스위스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스위스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스위스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스위스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스위스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대한민국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대한민국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대한민국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대한민국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대한민국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대한민국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대한민국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토고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토고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토고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토고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토고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토고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토고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57</v>
      </c>
    </row>
    <row r="52" spans="6:13" ht="12.75">
      <c r="F52" t="str">
        <f>AI40</f>
        <v>프랑스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 t="str">
        <f>AI41</f>
        <v>스위스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대한민국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토고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mergeCells count="1"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9"/>
  <dimension ref="A2:AL55"/>
  <sheetViews>
    <sheetView showGridLines="0" showRowColHeaders="0" showOutlineSymbols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.7109375" style="0" customWidth="1"/>
    <col min="3" max="3" width="1.57421875" style="0" customWidth="1"/>
    <col min="4" max="4" width="2.7109375" style="0" customWidth="1"/>
    <col min="6" max="6" width="10.8515625" style="0" customWidth="1"/>
    <col min="7" max="16384" width="3.7109375" style="0" customWidth="1"/>
  </cols>
  <sheetData>
    <row r="2" spans="1:28" ht="12.75">
      <c r="A2" s="235" t="s">
        <v>41</v>
      </c>
      <c r="B2" s="235"/>
      <c r="C2" s="235"/>
      <c r="D2" s="235"/>
      <c r="E2" s="235"/>
      <c r="G2" t="str">
        <f>F조!Q7</f>
        <v>브라질</v>
      </c>
      <c r="N2" t="str">
        <f>F조!Q9</f>
        <v>크로아티아</v>
      </c>
      <c r="U2" t="str">
        <f>F조!Q11</f>
        <v>호주</v>
      </c>
      <c r="AB2" t="str">
        <f>F조!Q13</f>
        <v>일본</v>
      </c>
    </row>
    <row r="3" spans="6:33" ht="12.75">
      <c r="F3" t="s">
        <v>42</v>
      </c>
      <c r="G3" t="s">
        <v>43</v>
      </c>
      <c r="H3" t="s">
        <v>44</v>
      </c>
      <c r="I3" t="s">
        <v>45</v>
      </c>
      <c r="J3" t="s">
        <v>46</v>
      </c>
      <c r="K3" t="s">
        <v>47</v>
      </c>
      <c r="L3" t="s">
        <v>48</v>
      </c>
      <c r="N3" t="s">
        <v>43</v>
      </c>
      <c r="O3" t="s">
        <v>44</v>
      </c>
      <c r="P3" t="s">
        <v>45</v>
      </c>
      <c r="Q3" t="s">
        <v>46</v>
      </c>
      <c r="R3" t="s">
        <v>47</v>
      </c>
      <c r="S3" t="s">
        <v>48</v>
      </c>
      <c r="U3" t="s">
        <v>43</v>
      </c>
      <c r="V3" t="s">
        <v>44</v>
      </c>
      <c r="W3" t="s">
        <v>45</v>
      </c>
      <c r="X3" t="s">
        <v>46</v>
      </c>
      <c r="Y3" t="s">
        <v>47</v>
      </c>
      <c r="Z3" t="s">
        <v>48</v>
      </c>
      <c r="AB3" t="s">
        <v>43</v>
      </c>
      <c r="AC3" t="s">
        <v>44</v>
      </c>
      <c r="AD3" t="s">
        <v>45</v>
      </c>
      <c r="AE3" t="s">
        <v>46</v>
      </c>
      <c r="AF3" t="s">
        <v>47</v>
      </c>
      <c r="AG3" t="s">
        <v>48</v>
      </c>
    </row>
    <row r="4" spans="1:33" ht="12.75">
      <c r="A4" s="164" t="str">
        <f>F조!B6</f>
        <v>브라질</v>
      </c>
      <c r="B4" s="165">
        <f>F조!C6</f>
        <v>0</v>
      </c>
      <c r="C4" s="165" t="str">
        <f>F조!D6</f>
        <v>-</v>
      </c>
      <c r="D4" s="165">
        <f>F조!E6</f>
        <v>0</v>
      </c>
      <c r="E4" s="166" t="str">
        <f>F조!F6</f>
        <v>크로아티아</v>
      </c>
      <c r="F4" s="165">
        <f>COUNTBLANK(F조!C6:E6)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164" t="str">
        <f>F조!B7</f>
        <v>호주</v>
      </c>
      <c r="B5" s="165">
        <f>F조!C7</f>
        <v>0</v>
      </c>
      <c r="C5" s="165" t="str">
        <f>F조!D7</f>
        <v>-</v>
      </c>
      <c r="D5" s="165">
        <f>F조!E7</f>
        <v>0</v>
      </c>
      <c r="E5" s="166" t="str">
        <f>F조!F7</f>
        <v>일본</v>
      </c>
      <c r="F5" s="165">
        <f>COUNTBLANK(F조!C7:E7)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164" t="str">
        <f>F조!B8</f>
        <v>브라질</v>
      </c>
      <c r="B6" s="165">
        <f>F조!C8</f>
        <v>0</v>
      </c>
      <c r="C6" s="165" t="str">
        <f>F조!D8</f>
        <v>-</v>
      </c>
      <c r="D6" s="165">
        <f>F조!E8</f>
        <v>0</v>
      </c>
      <c r="E6" s="166" t="str">
        <f>F조!F8</f>
        <v>호주</v>
      </c>
      <c r="F6" s="165">
        <f>COUNTBLANK(F조!C8:E8)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164" t="str">
        <f>F조!B9</f>
        <v>일본</v>
      </c>
      <c r="B7" s="165">
        <f>F조!C9</f>
        <v>0</v>
      </c>
      <c r="C7" s="165" t="str">
        <f>F조!D9</f>
        <v>-</v>
      </c>
      <c r="D7" s="165">
        <f>F조!E9</f>
        <v>0</v>
      </c>
      <c r="E7" s="166" t="str">
        <f>F조!F9</f>
        <v>크로아티아</v>
      </c>
      <c r="F7" s="165">
        <f>COUNTBLANK(F조!C9:E9)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164" t="str">
        <f>F조!B10</f>
        <v>일본</v>
      </c>
      <c r="B8" s="165">
        <f>F조!C10</f>
        <v>0</v>
      </c>
      <c r="C8" s="165" t="str">
        <f>F조!D10</f>
        <v>-</v>
      </c>
      <c r="D8" s="165">
        <f>F조!E10</f>
        <v>0</v>
      </c>
      <c r="E8" s="166" t="str">
        <f>F조!F10</f>
        <v>브라질</v>
      </c>
      <c r="F8" s="165">
        <f>COUNTBLANK(F조!C10:E10)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164" t="str">
        <f>F조!B11</f>
        <v>크로아티아</v>
      </c>
      <c r="B9" s="165">
        <f>F조!C11</f>
        <v>0</v>
      </c>
      <c r="C9" s="165" t="str">
        <f>F조!D11</f>
        <v>-</v>
      </c>
      <c r="D9" s="165">
        <f>F조!E11</f>
        <v>0</v>
      </c>
      <c r="E9" s="166" t="str">
        <f>F조!F11</f>
        <v>호주</v>
      </c>
      <c r="F9" s="165">
        <f>COUNTBLANK(F조!C11:E11)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49</v>
      </c>
    </row>
    <row r="15" spans="7:35" ht="12.75">
      <c r="G15" t="s">
        <v>43</v>
      </c>
      <c r="H15" t="s">
        <v>44</v>
      </c>
      <c r="I15" t="s">
        <v>45</v>
      </c>
      <c r="J15" t="s">
        <v>46</v>
      </c>
      <c r="K15" t="s">
        <v>47</v>
      </c>
      <c r="L15" t="s">
        <v>48</v>
      </c>
      <c r="M15" t="s">
        <v>50</v>
      </c>
      <c r="O15" t="s">
        <v>51</v>
      </c>
      <c r="S15" t="s">
        <v>52</v>
      </c>
      <c r="W15" t="s">
        <v>53</v>
      </c>
      <c r="AA15" t="s">
        <v>54</v>
      </c>
      <c r="AE15" t="s">
        <v>55</v>
      </c>
      <c r="AI15" t="s">
        <v>56</v>
      </c>
    </row>
    <row r="16" spans="6:36" ht="12.75">
      <c r="F16" t="str">
        <f>G2</f>
        <v>브라질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브라질</v>
      </c>
      <c r="P16">
        <f>VLOOKUP(O16,$F$16:$M$25,8,FALSE)</f>
        <v>0</v>
      </c>
      <c r="S16" t="str">
        <f>IF($P16&gt;=$P18,$O16,$O18)</f>
        <v>브라질</v>
      </c>
      <c r="T16">
        <f>VLOOKUP(S16,$O$16:$P$25,2,FALSE)</f>
        <v>0</v>
      </c>
      <c r="W16" t="str">
        <f>IF($T16&gt;=$T19,$S16,$S19)</f>
        <v>브라질</v>
      </c>
      <c r="X16">
        <f>VLOOKUP(W16,$S$16:$T$25,2,FALSE)</f>
        <v>0</v>
      </c>
      <c r="AA16" t="str">
        <f>W16</f>
        <v>브라질</v>
      </c>
      <c r="AB16">
        <f>VLOOKUP(AA16,W16:X25,2,FALSE)</f>
        <v>0</v>
      </c>
      <c r="AE16" t="str">
        <f>AA16</f>
        <v>브라질</v>
      </c>
      <c r="AF16">
        <f>VLOOKUP(AE16,AA16:AB25,2,FALSE)</f>
        <v>0</v>
      </c>
      <c r="AI16" t="str">
        <f>AE16</f>
        <v>브라질</v>
      </c>
      <c r="AJ16">
        <f>VLOOKUP(AI16,AE16:AF25,2,FALSE)</f>
        <v>0</v>
      </c>
    </row>
    <row r="17" spans="6:36" ht="12.75">
      <c r="F17" t="str">
        <f>N2</f>
        <v>크로아티아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크로아티아</v>
      </c>
      <c r="P17">
        <f>VLOOKUP(O17,$F$16:$M$25,8,FALSE)</f>
        <v>0</v>
      </c>
      <c r="S17" t="str">
        <f>O17</f>
        <v>크로아티아</v>
      </c>
      <c r="T17">
        <f>VLOOKUP(S17,$O$16:$P$25,2,FALSE)</f>
        <v>0</v>
      </c>
      <c r="W17" t="str">
        <f>S17</f>
        <v>크로아티아</v>
      </c>
      <c r="X17">
        <f>VLOOKUP(W17,$S$16:$T$25,2,FALSE)</f>
        <v>0</v>
      </c>
      <c r="AA17" t="str">
        <f>IF(X17&gt;=X18,W17,W18)</f>
        <v>크로아티아</v>
      </c>
      <c r="AB17">
        <f>VLOOKUP(AA17,W16:X25,2,FALSE)</f>
        <v>0</v>
      </c>
      <c r="AE17" t="str">
        <f>IF(AB17&gt;=AB19,AA17,AA19)</f>
        <v>크로아티아</v>
      </c>
      <c r="AF17">
        <f>VLOOKUP(AE17,AA16:AB25,2,FALSE)</f>
        <v>0</v>
      </c>
      <c r="AI17" t="str">
        <f>AE17</f>
        <v>크로아티아</v>
      </c>
      <c r="AJ17">
        <f>VLOOKUP(AI17,AE16:AF25,2,FALSE)</f>
        <v>0</v>
      </c>
    </row>
    <row r="18" spans="6:36" ht="12.75">
      <c r="F18" t="str">
        <f>U2</f>
        <v>호주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호주</v>
      </c>
      <c r="P18">
        <f>VLOOKUP(O18,$F$16:$M$25,8,FALSE)</f>
        <v>0</v>
      </c>
      <c r="S18" t="str">
        <f>IF($P18&lt;=$P16,$O18,$O16)</f>
        <v>호주</v>
      </c>
      <c r="T18">
        <f>VLOOKUP(S18,$O$16:$P$25,2,FALSE)</f>
        <v>0</v>
      </c>
      <c r="W18" t="str">
        <f>S18</f>
        <v>호주</v>
      </c>
      <c r="X18">
        <f>VLOOKUP(W18,$S$16:$T$25,2,FALSE)</f>
        <v>0</v>
      </c>
      <c r="AA18" t="str">
        <f>IF(X18&lt;=X17,W18,W17)</f>
        <v>호주</v>
      </c>
      <c r="AB18">
        <f>VLOOKUP(AA18,W16:X25,2,FALSE)</f>
        <v>0</v>
      </c>
      <c r="AE18" t="str">
        <f>AA18</f>
        <v>호주</v>
      </c>
      <c r="AF18">
        <f>VLOOKUP(AE18,AA16:AB25,2,FALSE)</f>
        <v>0</v>
      </c>
      <c r="AI18" t="str">
        <f>IF(AF18&gt;=AF19,AE18,AE19)</f>
        <v>호주</v>
      </c>
      <c r="AJ18">
        <f>VLOOKUP(AI18,AE16:AF25,2,FALSE)</f>
        <v>0</v>
      </c>
    </row>
    <row r="19" spans="6:36" ht="12.75">
      <c r="F19" t="str">
        <f>AB2</f>
        <v>일본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일본</v>
      </c>
      <c r="P19">
        <f>VLOOKUP(O19,$F$16:$M$25,8,FALSE)</f>
        <v>0</v>
      </c>
      <c r="S19" t="str">
        <f>O19</f>
        <v>일본</v>
      </c>
      <c r="T19">
        <f>VLOOKUP(S19,$O$16:$P$25,2,FALSE)</f>
        <v>0</v>
      </c>
      <c r="W19" t="str">
        <f>IF($T19&lt;=$T16,$S19,$S16)</f>
        <v>일본</v>
      </c>
      <c r="X19">
        <f>VLOOKUP(W19,$S$16:$T$25,2,FALSE)</f>
        <v>0</v>
      </c>
      <c r="AA19" t="str">
        <f>W19</f>
        <v>일본</v>
      </c>
      <c r="AB19">
        <f>VLOOKUP(AA19,W16:X25,2,FALSE)</f>
        <v>0</v>
      </c>
      <c r="AE19" t="str">
        <f>IF(AB19&lt;=AB17,AA19,AA17)</f>
        <v>일본</v>
      </c>
      <c r="AF19">
        <f>VLOOKUP(AE19,AA16:AB25,2,FALSE)</f>
        <v>0</v>
      </c>
      <c r="AI19" t="str">
        <f>IF(AF19&lt;=AF18,AE19,AE18)</f>
        <v>일본</v>
      </c>
      <c r="AJ19">
        <f>VLOOKUP(AI19,AE16:AF25,2,FALSE)</f>
        <v>0</v>
      </c>
    </row>
    <row r="28" spans="6:37" ht="12.75">
      <c r="F28" t="str">
        <f>AI16</f>
        <v>브라질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브라질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브라질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브라질</v>
      </c>
      <c r="X28">
        <f>VLOOKUP(W28,$S$28:$U$37,2,FALSE)</f>
        <v>0</v>
      </c>
      <c r="Y28">
        <f>VLOOKUP(W28,$S$28:$U$37,3,FALSE)</f>
        <v>0</v>
      </c>
      <c r="AA28" t="str">
        <f>W28</f>
        <v>브라질</v>
      </c>
      <c r="AB28">
        <f>VLOOKUP(AA28,W28:Y37,2,FALSE)</f>
        <v>0</v>
      </c>
      <c r="AC28">
        <f>VLOOKUP(AA28,W28:Y37,3,FALSE)</f>
        <v>0</v>
      </c>
      <c r="AE28" t="str">
        <f>AA28</f>
        <v>브라질</v>
      </c>
      <c r="AF28">
        <f>VLOOKUP(AE28,AA28:AC37,2,FALSE)</f>
        <v>0</v>
      </c>
      <c r="AG28">
        <f>VLOOKUP(AE28,AA28:AC37,3,FALSE)</f>
        <v>0</v>
      </c>
      <c r="AI28" t="str">
        <f>AE28</f>
        <v>브라질</v>
      </c>
      <c r="AJ28">
        <f>VLOOKUP(AI28,AE28:AG37,2,FALSE)</f>
        <v>0</v>
      </c>
      <c r="AK28">
        <f>VLOOKUP(AI28,AE28:AG37,3,FALSE)</f>
        <v>0</v>
      </c>
    </row>
    <row r="29" spans="6:37" ht="12.75">
      <c r="F29" t="str">
        <f>AI17</f>
        <v>크로아티아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크로아티아</v>
      </c>
      <c r="P29">
        <f>VLOOKUP(O29,$F$28:$M$37,5,FALSE)</f>
        <v>0</v>
      </c>
      <c r="Q29">
        <f>VLOOKUP(O29,$F$28:$M$37,8,FALSE)</f>
        <v>0</v>
      </c>
      <c r="S29" t="str">
        <f>O29</f>
        <v>크로아티아</v>
      </c>
      <c r="T29">
        <f>VLOOKUP(S29,$O$28:$Q$37,2,FALSE)</f>
        <v>0</v>
      </c>
      <c r="U29">
        <f>VLOOKUP(S29,$O$28:$Q$37,3,FALSE)</f>
        <v>0</v>
      </c>
      <c r="W29" t="str">
        <f>S29</f>
        <v>크로아티아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크로아티아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크로아티아</v>
      </c>
      <c r="AF29">
        <f>VLOOKUP(AE29,AA28:AC37,2,FALSE)</f>
        <v>0</v>
      </c>
      <c r="AG29">
        <f>VLOOKUP(AE29,AA28:AC37,3,FALSE)</f>
        <v>0</v>
      </c>
      <c r="AI29" t="str">
        <f>AE29</f>
        <v>크로아티아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호주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호주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호주</v>
      </c>
      <c r="T30">
        <f>VLOOKUP(S30,$O$28:$Q$37,2,FALSE)</f>
        <v>0</v>
      </c>
      <c r="U30">
        <f>VLOOKUP(S30,$O$28:$Q$37,3,FALSE)</f>
        <v>0</v>
      </c>
      <c r="W30" t="str">
        <f>S30</f>
        <v>호주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호주</v>
      </c>
      <c r="AB30">
        <f>VLOOKUP(AA30,W28:Y37,2,FALSE)</f>
        <v>0</v>
      </c>
      <c r="AC30">
        <f>VLOOKUP(AA30,W28:Y37,3,FALSE)</f>
        <v>0</v>
      </c>
      <c r="AE30" t="str">
        <f>AA30</f>
        <v>호주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호주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일본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일본</v>
      </c>
      <c r="P31">
        <f>VLOOKUP(O31,$F$28:$M$37,5,FALSE)</f>
        <v>0</v>
      </c>
      <c r="Q31">
        <f>VLOOKUP(O31,$F$28:$M$37,8,FALSE)</f>
        <v>0</v>
      </c>
      <c r="S31" t="str">
        <f>O31</f>
        <v>일본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일본</v>
      </c>
      <c r="X31">
        <f>VLOOKUP(W31,$S$28:$U$37,2,FALSE)</f>
        <v>0</v>
      </c>
      <c r="Y31">
        <f>VLOOKUP(W31,$S$28:$U$37,3,FALSE)</f>
        <v>0</v>
      </c>
      <c r="AA31" t="str">
        <f>W31</f>
        <v>일본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일본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일본</v>
      </c>
      <c r="AJ31">
        <f>VLOOKUP(AI31,AE28:AG37,2,FALSE)</f>
        <v>0</v>
      </c>
      <c r="AK31">
        <f>VLOOKUP(AI31,AE28:AG37,3,FALSE)</f>
        <v>0</v>
      </c>
    </row>
    <row r="40" spans="6:38" ht="12.75">
      <c r="F40" t="str">
        <f>AI28</f>
        <v>브라질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브라질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브라질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브라질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브라질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브라질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브라질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 t="str">
        <f>AI29</f>
        <v>크로아티아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크로아티아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크로아티아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크로아티아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크로아티아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크로아티아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크로아티아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호주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호주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호주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호주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호주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호주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호주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일본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일본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일본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일본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일본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일본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일본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57</v>
      </c>
    </row>
    <row r="52" spans="6:13" ht="12.75">
      <c r="F52" t="str">
        <f>AI40</f>
        <v>브라질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 t="str">
        <f>AI41</f>
        <v>크로아티아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호주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일본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mergeCells count="1"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7"/>
  <dimension ref="A2:AL55"/>
  <sheetViews>
    <sheetView showGridLines="0" showRowColHeaders="0" showOutlineSymbols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.7109375" style="0" customWidth="1"/>
    <col min="3" max="3" width="1.57421875" style="0" customWidth="1"/>
    <col min="4" max="4" width="2.7109375" style="0" customWidth="1"/>
    <col min="6" max="6" width="10.8515625" style="0" customWidth="1"/>
    <col min="7" max="16384" width="3.7109375" style="0" customWidth="1"/>
  </cols>
  <sheetData>
    <row r="2" spans="1:28" ht="12.75">
      <c r="A2" s="235" t="s">
        <v>41</v>
      </c>
      <c r="B2" s="235"/>
      <c r="C2" s="235"/>
      <c r="D2" s="235"/>
      <c r="E2" s="235"/>
      <c r="G2" t="str">
        <f>E조!Q7</f>
        <v>이탈리아</v>
      </c>
      <c r="N2" t="str">
        <f>E조!Q9</f>
        <v>가나</v>
      </c>
      <c r="U2" t="str">
        <f>E조!Q11</f>
        <v>미국</v>
      </c>
      <c r="AB2" t="str">
        <f>E조!Q13</f>
        <v>체코</v>
      </c>
    </row>
    <row r="3" spans="6:33" ht="12.75">
      <c r="F3" t="s">
        <v>42</v>
      </c>
      <c r="G3" t="s">
        <v>43</v>
      </c>
      <c r="H3" t="s">
        <v>44</v>
      </c>
      <c r="I3" t="s">
        <v>45</v>
      </c>
      <c r="J3" t="s">
        <v>46</v>
      </c>
      <c r="K3" t="s">
        <v>47</v>
      </c>
      <c r="L3" t="s">
        <v>48</v>
      </c>
      <c r="N3" t="s">
        <v>43</v>
      </c>
      <c r="O3" t="s">
        <v>44</v>
      </c>
      <c r="P3" t="s">
        <v>45</v>
      </c>
      <c r="Q3" t="s">
        <v>46</v>
      </c>
      <c r="R3" t="s">
        <v>47</v>
      </c>
      <c r="S3" t="s">
        <v>48</v>
      </c>
      <c r="U3" t="s">
        <v>43</v>
      </c>
      <c r="V3" t="s">
        <v>44</v>
      </c>
      <c r="W3" t="s">
        <v>45</v>
      </c>
      <c r="X3" t="s">
        <v>46</v>
      </c>
      <c r="Y3" t="s">
        <v>47</v>
      </c>
      <c r="Z3" t="s">
        <v>48</v>
      </c>
      <c r="AB3" t="s">
        <v>43</v>
      </c>
      <c r="AC3" t="s">
        <v>44</v>
      </c>
      <c r="AD3" t="s">
        <v>45</v>
      </c>
      <c r="AE3" t="s">
        <v>46</v>
      </c>
      <c r="AF3" t="s">
        <v>47</v>
      </c>
      <c r="AG3" t="s">
        <v>48</v>
      </c>
    </row>
    <row r="4" spans="1:33" ht="12.75">
      <c r="A4" s="164" t="str">
        <f>E조!B6</f>
        <v>이탈리아</v>
      </c>
      <c r="B4" s="165">
        <f>E조!C6</f>
        <v>0</v>
      </c>
      <c r="C4" s="165" t="str">
        <f>E조!D6</f>
        <v>-</v>
      </c>
      <c r="D4" s="165">
        <f>E조!E6</f>
        <v>0</v>
      </c>
      <c r="E4" s="166" t="str">
        <f>E조!F6</f>
        <v>가나</v>
      </c>
      <c r="F4" s="165">
        <f>COUNTBLANK(E조!C6:E6)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164" t="str">
        <f>E조!B7</f>
        <v>미국</v>
      </c>
      <c r="B5" s="165">
        <f>E조!C7</f>
        <v>0</v>
      </c>
      <c r="C5" s="165" t="str">
        <f>E조!D7</f>
        <v>-</v>
      </c>
      <c r="D5" s="165">
        <f>E조!E7</f>
        <v>0</v>
      </c>
      <c r="E5" s="166" t="str">
        <f>E조!F7</f>
        <v>체코</v>
      </c>
      <c r="F5" s="165">
        <f>COUNTBLANK(E조!C7:E7)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164" t="str">
        <f>E조!B8</f>
        <v>이탈리아</v>
      </c>
      <c r="B6" s="165">
        <f>E조!C8</f>
        <v>0</v>
      </c>
      <c r="C6" s="165" t="str">
        <f>E조!D8</f>
        <v>-</v>
      </c>
      <c r="D6" s="165">
        <f>E조!E8</f>
        <v>0</v>
      </c>
      <c r="E6" s="166" t="str">
        <f>E조!F8</f>
        <v>미국</v>
      </c>
      <c r="F6" s="165">
        <f>COUNTBLANK(E조!C8:E8)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164" t="str">
        <f>E조!B9</f>
        <v>체코</v>
      </c>
      <c r="B7" s="165">
        <f>E조!C9</f>
        <v>0</v>
      </c>
      <c r="C7" s="165" t="str">
        <f>E조!D9</f>
        <v>-</v>
      </c>
      <c r="D7" s="165">
        <f>E조!E9</f>
        <v>0</v>
      </c>
      <c r="E7" s="166" t="str">
        <f>E조!F9</f>
        <v>가나</v>
      </c>
      <c r="F7" s="165">
        <f>COUNTBLANK(E조!C9:E9)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164" t="str">
        <f>E조!B10</f>
        <v>체코</v>
      </c>
      <c r="B8" s="165">
        <f>E조!C10</f>
        <v>0</v>
      </c>
      <c r="C8" s="165" t="str">
        <f>E조!D10</f>
        <v>-</v>
      </c>
      <c r="D8" s="165">
        <f>E조!E10</f>
        <v>0</v>
      </c>
      <c r="E8" s="166" t="str">
        <f>E조!F10</f>
        <v>이탈리아</v>
      </c>
      <c r="F8" s="165">
        <f>COUNTBLANK(E조!C10:E10)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164" t="str">
        <f>E조!B11</f>
        <v>가나</v>
      </c>
      <c r="B9" s="165">
        <f>E조!C11</f>
        <v>0</v>
      </c>
      <c r="C9" s="165" t="str">
        <f>E조!D11</f>
        <v>-</v>
      </c>
      <c r="D9" s="165">
        <f>E조!E11</f>
        <v>0</v>
      </c>
      <c r="E9" s="166" t="str">
        <f>E조!F11</f>
        <v>미국</v>
      </c>
      <c r="F9" s="165">
        <f>COUNTBLANK(E조!C11:E11)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49</v>
      </c>
    </row>
    <row r="15" spans="7:35" ht="12.75">
      <c r="G15" t="s">
        <v>43</v>
      </c>
      <c r="H15" t="s">
        <v>44</v>
      </c>
      <c r="I15" t="s">
        <v>45</v>
      </c>
      <c r="J15" t="s">
        <v>46</v>
      </c>
      <c r="K15" t="s">
        <v>47</v>
      </c>
      <c r="L15" t="s">
        <v>48</v>
      </c>
      <c r="M15" t="s">
        <v>50</v>
      </c>
      <c r="O15" t="s">
        <v>51</v>
      </c>
      <c r="S15" t="s">
        <v>52</v>
      </c>
      <c r="W15" t="s">
        <v>53</v>
      </c>
      <c r="AA15" t="s">
        <v>54</v>
      </c>
      <c r="AE15" t="s">
        <v>55</v>
      </c>
      <c r="AI15" t="s">
        <v>56</v>
      </c>
    </row>
    <row r="16" spans="6:36" ht="12.75">
      <c r="F16" t="str">
        <f>G2</f>
        <v>이탈리아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이탈리아</v>
      </c>
      <c r="P16">
        <f>VLOOKUP(O16,$F$16:$M$25,8,FALSE)</f>
        <v>0</v>
      </c>
      <c r="S16" t="str">
        <f>IF($P16&gt;=$P18,$O16,$O18)</f>
        <v>이탈리아</v>
      </c>
      <c r="T16">
        <f>VLOOKUP(S16,$O$16:$P$25,2,FALSE)</f>
        <v>0</v>
      </c>
      <c r="W16" t="str">
        <f>IF($T16&gt;=$T19,$S16,$S19)</f>
        <v>이탈리아</v>
      </c>
      <c r="X16">
        <f>VLOOKUP(W16,$S$16:$T$25,2,FALSE)</f>
        <v>0</v>
      </c>
      <c r="AA16" t="str">
        <f>W16</f>
        <v>이탈리아</v>
      </c>
      <c r="AB16">
        <f>VLOOKUP(AA16,W16:X25,2,FALSE)</f>
        <v>0</v>
      </c>
      <c r="AE16" t="str">
        <f>AA16</f>
        <v>이탈리아</v>
      </c>
      <c r="AF16">
        <f>VLOOKUP(AE16,AA16:AB25,2,FALSE)</f>
        <v>0</v>
      </c>
      <c r="AI16" t="str">
        <f>AE16</f>
        <v>이탈리아</v>
      </c>
      <c r="AJ16">
        <f>VLOOKUP(AI16,AE16:AF25,2,FALSE)</f>
        <v>0</v>
      </c>
    </row>
    <row r="17" spans="6:36" ht="12.75">
      <c r="F17" t="str">
        <f>N2</f>
        <v>가나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가나</v>
      </c>
      <c r="P17">
        <f>VLOOKUP(O17,$F$16:$M$25,8,FALSE)</f>
        <v>0</v>
      </c>
      <c r="S17" t="str">
        <f>O17</f>
        <v>가나</v>
      </c>
      <c r="T17">
        <f>VLOOKUP(S17,$O$16:$P$25,2,FALSE)</f>
        <v>0</v>
      </c>
      <c r="W17" t="str">
        <f>S17</f>
        <v>가나</v>
      </c>
      <c r="X17">
        <f>VLOOKUP(W17,$S$16:$T$25,2,FALSE)</f>
        <v>0</v>
      </c>
      <c r="AA17" t="str">
        <f>IF(X17&gt;=X18,W17,W18)</f>
        <v>가나</v>
      </c>
      <c r="AB17">
        <f>VLOOKUP(AA17,W16:X25,2,FALSE)</f>
        <v>0</v>
      </c>
      <c r="AE17" t="str">
        <f>IF(AB17&gt;=AB19,AA17,AA19)</f>
        <v>가나</v>
      </c>
      <c r="AF17">
        <f>VLOOKUP(AE17,AA16:AB25,2,FALSE)</f>
        <v>0</v>
      </c>
      <c r="AI17" t="str">
        <f>AE17</f>
        <v>가나</v>
      </c>
      <c r="AJ17">
        <f>VLOOKUP(AI17,AE16:AF25,2,FALSE)</f>
        <v>0</v>
      </c>
    </row>
    <row r="18" spans="6:36" ht="12.75">
      <c r="F18" t="str">
        <f>U2</f>
        <v>미국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미국</v>
      </c>
      <c r="P18">
        <f>VLOOKUP(O18,$F$16:$M$25,8,FALSE)</f>
        <v>0</v>
      </c>
      <c r="S18" t="str">
        <f>IF($P18&lt;=$P16,$O18,$O16)</f>
        <v>미국</v>
      </c>
      <c r="T18">
        <f>VLOOKUP(S18,$O$16:$P$25,2,FALSE)</f>
        <v>0</v>
      </c>
      <c r="W18" t="str">
        <f>S18</f>
        <v>미국</v>
      </c>
      <c r="X18">
        <f>VLOOKUP(W18,$S$16:$T$25,2,FALSE)</f>
        <v>0</v>
      </c>
      <c r="AA18" t="str">
        <f>IF(X18&lt;=X17,W18,W17)</f>
        <v>미국</v>
      </c>
      <c r="AB18">
        <f>VLOOKUP(AA18,W16:X25,2,FALSE)</f>
        <v>0</v>
      </c>
      <c r="AE18" t="str">
        <f>AA18</f>
        <v>미국</v>
      </c>
      <c r="AF18">
        <f>VLOOKUP(AE18,AA16:AB25,2,FALSE)</f>
        <v>0</v>
      </c>
      <c r="AI18" t="str">
        <f>IF(AF18&gt;=AF19,AE18,AE19)</f>
        <v>미국</v>
      </c>
      <c r="AJ18">
        <f>VLOOKUP(AI18,AE16:AF25,2,FALSE)</f>
        <v>0</v>
      </c>
    </row>
    <row r="19" spans="6:36" ht="12.75">
      <c r="F19" t="str">
        <f>AB2</f>
        <v>체코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체코</v>
      </c>
      <c r="P19">
        <f>VLOOKUP(O19,$F$16:$M$25,8,FALSE)</f>
        <v>0</v>
      </c>
      <c r="S19" t="str">
        <f>O19</f>
        <v>체코</v>
      </c>
      <c r="T19">
        <f>VLOOKUP(S19,$O$16:$P$25,2,FALSE)</f>
        <v>0</v>
      </c>
      <c r="W19" t="str">
        <f>IF($T19&lt;=$T16,$S19,$S16)</f>
        <v>체코</v>
      </c>
      <c r="X19">
        <f>VLOOKUP(W19,$S$16:$T$25,2,FALSE)</f>
        <v>0</v>
      </c>
      <c r="AA19" t="str">
        <f>W19</f>
        <v>체코</v>
      </c>
      <c r="AB19">
        <f>VLOOKUP(AA19,W16:X25,2,FALSE)</f>
        <v>0</v>
      </c>
      <c r="AE19" t="str">
        <f>IF(AB19&lt;=AB17,AA19,AA17)</f>
        <v>체코</v>
      </c>
      <c r="AF19">
        <f>VLOOKUP(AE19,AA16:AB25,2,FALSE)</f>
        <v>0</v>
      </c>
      <c r="AI19" t="str">
        <f>IF(AF19&lt;=AF18,AE19,AE18)</f>
        <v>체코</v>
      </c>
      <c r="AJ19">
        <f>VLOOKUP(AI19,AE16:AF25,2,FALSE)</f>
        <v>0</v>
      </c>
    </row>
    <row r="28" spans="6:37" ht="12.75">
      <c r="F28" t="str">
        <f>AI16</f>
        <v>이탈리아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이탈리아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이탈리아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이탈리아</v>
      </c>
      <c r="X28">
        <f>VLOOKUP(W28,$S$28:$U$37,2,FALSE)</f>
        <v>0</v>
      </c>
      <c r="Y28">
        <f>VLOOKUP(W28,$S$28:$U$37,3,FALSE)</f>
        <v>0</v>
      </c>
      <c r="AA28" t="str">
        <f>W28</f>
        <v>이탈리아</v>
      </c>
      <c r="AB28">
        <f>VLOOKUP(AA28,W28:Y37,2,FALSE)</f>
        <v>0</v>
      </c>
      <c r="AC28">
        <f>VLOOKUP(AA28,W28:Y37,3,FALSE)</f>
        <v>0</v>
      </c>
      <c r="AE28" t="str">
        <f>AA28</f>
        <v>이탈리아</v>
      </c>
      <c r="AF28">
        <f>VLOOKUP(AE28,AA28:AC37,2,FALSE)</f>
        <v>0</v>
      </c>
      <c r="AG28">
        <f>VLOOKUP(AE28,AA28:AC37,3,FALSE)</f>
        <v>0</v>
      </c>
      <c r="AI28" t="str">
        <f>AE28</f>
        <v>이탈리아</v>
      </c>
      <c r="AJ28">
        <f>VLOOKUP(AI28,AE28:AG37,2,FALSE)</f>
        <v>0</v>
      </c>
      <c r="AK28">
        <f>VLOOKUP(AI28,AE28:AG37,3,FALSE)</f>
        <v>0</v>
      </c>
    </row>
    <row r="29" spans="6:37" ht="12.75">
      <c r="F29" t="str">
        <f>AI17</f>
        <v>가나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가나</v>
      </c>
      <c r="P29">
        <f>VLOOKUP(O29,$F$28:$M$37,5,FALSE)</f>
        <v>0</v>
      </c>
      <c r="Q29">
        <f>VLOOKUP(O29,$F$28:$M$37,8,FALSE)</f>
        <v>0</v>
      </c>
      <c r="S29" t="str">
        <f>O29</f>
        <v>가나</v>
      </c>
      <c r="T29">
        <f>VLOOKUP(S29,$O$28:$Q$37,2,FALSE)</f>
        <v>0</v>
      </c>
      <c r="U29">
        <f>VLOOKUP(S29,$O$28:$Q$37,3,FALSE)</f>
        <v>0</v>
      </c>
      <c r="W29" t="str">
        <f>S29</f>
        <v>가나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가나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가나</v>
      </c>
      <c r="AF29">
        <f>VLOOKUP(AE29,AA28:AC37,2,FALSE)</f>
        <v>0</v>
      </c>
      <c r="AG29">
        <f>VLOOKUP(AE29,AA28:AC37,3,FALSE)</f>
        <v>0</v>
      </c>
      <c r="AI29" t="str">
        <f>AE29</f>
        <v>가나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미국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미국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미국</v>
      </c>
      <c r="T30">
        <f>VLOOKUP(S30,$O$28:$Q$37,2,FALSE)</f>
        <v>0</v>
      </c>
      <c r="U30">
        <f>VLOOKUP(S30,$O$28:$Q$37,3,FALSE)</f>
        <v>0</v>
      </c>
      <c r="W30" t="str">
        <f>S30</f>
        <v>미국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미국</v>
      </c>
      <c r="AB30">
        <f>VLOOKUP(AA30,W28:Y37,2,FALSE)</f>
        <v>0</v>
      </c>
      <c r="AC30">
        <f>VLOOKUP(AA30,W28:Y37,3,FALSE)</f>
        <v>0</v>
      </c>
      <c r="AE30" t="str">
        <f>AA30</f>
        <v>미국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미국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체코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체코</v>
      </c>
      <c r="P31">
        <f>VLOOKUP(O31,$F$28:$M$37,5,FALSE)</f>
        <v>0</v>
      </c>
      <c r="Q31">
        <f>VLOOKUP(O31,$F$28:$M$37,8,FALSE)</f>
        <v>0</v>
      </c>
      <c r="S31" t="str">
        <f>O31</f>
        <v>체코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체코</v>
      </c>
      <c r="X31">
        <f>VLOOKUP(W31,$S$28:$U$37,2,FALSE)</f>
        <v>0</v>
      </c>
      <c r="Y31">
        <f>VLOOKUP(W31,$S$28:$U$37,3,FALSE)</f>
        <v>0</v>
      </c>
      <c r="AA31" t="str">
        <f>W31</f>
        <v>체코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체코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체코</v>
      </c>
      <c r="AJ31">
        <f>VLOOKUP(AI31,AE28:AG37,2,FALSE)</f>
        <v>0</v>
      </c>
      <c r="AK31">
        <f>VLOOKUP(AI31,AE28:AG37,3,FALSE)</f>
        <v>0</v>
      </c>
    </row>
    <row r="40" spans="6:38" ht="12.75">
      <c r="F40" t="str">
        <f>AI28</f>
        <v>이탈리아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이탈리아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이탈리아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이탈리아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이탈리아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이탈리아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이탈리아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 t="str">
        <f>AI29</f>
        <v>가나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가나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가나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가나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가나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가나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가나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미국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미국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미국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미국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미국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미국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미국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체코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체코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체코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체코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체코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체코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체코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57</v>
      </c>
    </row>
    <row r="52" spans="6:13" ht="12.75">
      <c r="F52" t="str">
        <f>AI40</f>
        <v>이탈리아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 t="str">
        <f>AI41</f>
        <v>가나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미국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체코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mergeCells count="1"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17"/>
  </sheetPr>
  <dimension ref="A1:L30"/>
  <sheetViews>
    <sheetView showGridLines="0" showRowColHeaders="0" showOutlineSymbols="0" workbookViewId="0" topLeftCell="A1">
      <selection activeCell="P48" sqref="P48"/>
    </sheetView>
  </sheetViews>
  <sheetFormatPr defaultColWidth="11.421875" defaultRowHeight="12.75"/>
  <cols>
    <col min="1" max="16384" width="11.421875" style="11" customWidth="1"/>
  </cols>
  <sheetData>
    <row r="1" spans="1:12" ht="34.5">
      <c r="A1" s="202" t="s">
        <v>122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3" spans="1:12" ht="12.75">
      <c r="A3" s="203" t="s">
        <v>165</v>
      </c>
      <c r="B3" s="203"/>
      <c r="C3" s="203"/>
      <c r="D3" s="203" t="s">
        <v>166</v>
      </c>
      <c r="E3" s="203"/>
      <c r="F3" s="203"/>
      <c r="G3" s="203" t="s">
        <v>167</v>
      </c>
      <c r="H3" s="203"/>
      <c r="I3" s="203"/>
      <c r="J3" s="203" t="s">
        <v>168</v>
      </c>
      <c r="K3" s="203"/>
      <c r="L3" s="203"/>
    </row>
    <row r="12" spans="1:12" ht="12.75">
      <c r="A12" s="203" t="s">
        <v>169</v>
      </c>
      <c r="B12" s="203"/>
      <c r="C12" s="203"/>
      <c r="D12" s="203" t="s">
        <v>170</v>
      </c>
      <c r="E12" s="203"/>
      <c r="F12" s="203"/>
      <c r="G12" s="203" t="s">
        <v>171</v>
      </c>
      <c r="H12" s="203"/>
      <c r="I12" s="203"/>
      <c r="J12" s="203" t="s">
        <v>172</v>
      </c>
      <c r="K12" s="203"/>
      <c r="L12" s="203"/>
    </row>
    <row r="21" spans="1:12" ht="12.75">
      <c r="A21" s="203" t="s">
        <v>173</v>
      </c>
      <c r="B21" s="203"/>
      <c r="C21" s="203"/>
      <c r="D21" s="203" t="s">
        <v>174</v>
      </c>
      <c r="E21" s="203"/>
      <c r="F21" s="203"/>
      <c r="G21" s="203" t="s">
        <v>175</v>
      </c>
      <c r="H21" s="203"/>
      <c r="I21" s="203"/>
      <c r="J21" s="203" t="s">
        <v>176</v>
      </c>
      <c r="K21" s="203"/>
      <c r="L21" s="203"/>
    </row>
    <row r="30" spans="6:7" ht="12.75">
      <c r="F30" s="204" t="s">
        <v>177</v>
      </c>
      <c r="G30" s="204" t="s">
        <v>2</v>
      </c>
    </row>
  </sheetData>
  <sheetProtection password="F52A" sheet="1" objects="1" scenarios="1"/>
  <mergeCells count="14">
    <mergeCell ref="F30:G30"/>
    <mergeCell ref="A21:C21"/>
    <mergeCell ref="D21:F21"/>
    <mergeCell ref="G21:I21"/>
    <mergeCell ref="J21:L21"/>
    <mergeCell ref="A12:C12"/>
    <mergeCell ref="D12:F12"/>
    <mergeCell ref="G12:I12"/>
    <mergeCell ref="J12:L12"/>
    <mergeCell ref="A1:L1"/>
    <mergeCell ref="A3:C3"/>
    <mergeCell ref="D3:F3"/>
    <mergeCell ref="G3:I3"/>
    <mergeCell ref="J3:L3"/>
  </mergeCells>
  <hyperlinks>
    <hyperlink ref="F30" location="Portada!A1" display="Menu Principal"/>
    <hyperlink ref="G30" location="Portada!A1" display="#Portada.A1"/>
    <hyperlink ref="F30:G30" location="Menu!A1" display="Men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3"/>
  <dimension ref="A2:AL55"/>
  <sheetViews>
    <sheetView showGridLines="0" showRowColHeaders="0" showOutlineSymbols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.7109375" style="0" customWidth="1"/>
    <col min="3" max="3" width="1.57421875" style="0" customWidth="1"/>
    <col min="4" max="4" width="2.7109375" style="0" customWidth="1"/>
    <col min="6" max="6" width="10.8515625" style="0" customWidth="1"/>
    <col min="7" max="16384" width="3.7109375" style="0" customWidth="1"/>
  </cols>
  <sheetData>
    <row r="2" spans="1:28" ht="12.75">
      <c r="A2" s="235" t="s">
        <v>41</v>
      </c>
      <c r="B2" s="235"/>
      <c r="C2" s="235"/>
      <c r="D2" s="235"/>
      <c r="E2" s="235"/>
      <c r="G2" t="str">
        <f>D조!Q7</f>
        <v>멕시코</v>
      </c>
      <c r="N2" t="str">
        <f>D조!Q9</f>
        <v>이란</v>
      </c>
      <c r="U2" t="str">
        <f>D조!Q11</f>
        <v>앙골라</v>
      </c>
      <c r="AB2" t="str">
        <f>D조!Q13</f>
        <v>포르투갈</v>
      </c>
    </row>
    <row r="3" spans="6:33" ht="12.75">
      <c r="F3" t="s">
        <v>42</v>
      </c>
      <c r="G3" t="s">
        <v>43</v>
      </c>
      <c r="H3" t="s">
        <v>44</v>
      </c>
      <c r="I3" t="s">
        <v>45</v>
      </c>
      <c r="J3" t="s">
        <v>46</v>
      </c>
      <c r="K3" t="s">
        <v>47</v>
      </c>
      <c r="L3" t="s">
        <v>48</v>
      </c>
      <c r="N3" t="s">
        <v>43</v>
      </c>
      <c r="O3" t="s">
        <v>44</v>
      </c>
      <c r="P3" t="s">
        <v>45</v>
      </c>
      <c r="Q3" t="s">
        <v>46</v>
      </c>
      <c r="R3" t="s">
        <v>47</v>
      </c>
      <c r="S3" t="s">
        <v>48</v>
      </c>
      <c r="U3" t="s">
        <v>43</v>
      </c>
      <c r="V3" t="s">
        <v>44</v>
      </c>
      <c r="W3" t="s">
        <v>45</v>
      </c>
      <c r="X3" t="s">
        <v>46</v>
      </c>
      <c r="Y3" t="s">
        <v>47</v>
      </c>
      <c r="Z3" t="s">
        <v>48</v>
      </c>
      <c r="AB3" t="s">
        <v>43</v>
      </c>
      <c r="AC3" t="s">
        <v>44</v>
      </c>
      <c r="AD3" t="s">
        <v>45</v>
      </c>
      <c r="AE3" t="s">
        <v>46</v>
      </c>
      <c r="AF3" t="s">
        <v>47</v>
      </c>
      <c r="AG3" t="s">
        <v>48</v>
      </c>
    </row>
    <row r="4" spans="1:33" ht="12.75">
      <c r="A4" s="164" t="str">
        <f>D조!B6</f>
        <v>멕시코</v>
      </c>
      <c r="B4" s="165">
        <f>D조!C6</f>
        <v>0</v>
      </c>
      <c r="C4" s="165" t="str">
        <f>D조!D6</f>
        <v>-</v>
      </c>
      <c r="D4" s="165">
        <f>D조!E6</f>
        <v>0</v>
      </c>
      <c r="E4" s="166" t="str">
        <f>D조!F6</f>
        <v>이란</v>
      </c>
      <c r="F4" s="165">
        <f>COUNTBLANK(D조!C6:E6)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164" t="str">
        <f>D조!B7</f>
        <v>앙골라</v>
      </c>
      <c r="B5" s="165">
        <f>D조!C7</f>
        <v>0</v>
      </c>
      <c r="C5" s="165" t="str">
        <f>D조!D7</f>
        <v>-</v>
      </c>
      <c r="D5" s="165">
        <f>D조!E7</f>
        <v>0</v>
      </c>
      <c r="E5" s="166" t="str">
        <f>D조!F7</f>
        <v>포르투갈</v>
      </c>
      <c r="F5" s="165">
        <f>COUNTBLANK(D조!C7:E7)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164" t="str">
        <f>D조!B8</f>
        <v>멕시코</v>
      </c>
      <c r="B6" s="165">
        <f>D조!C8</f>
        <v>0</v>
      </c>
      <c r="C6" s="165" t="str">
        <f>D조!D8</f>
        <v>-</v>
      </c>
      <c r="D6" s="165">
        <f>D조!E8</f>
        <v>0</v>
      </c>
      <c r="E6" s="166" t="str">
        <f>D조!F8</f>
        <v>앙골라</v>
      </c>
      <c r="F6" s="165">
        <f>COUNTBLANK(D조!C8:E8)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164" t="str">
        <f>D조!B9</f>
        <v>포르투갈</v>
      </c>
      <c r="B7" s="165">
        <f>D조!C9</f>
        <v>0</v>
      </c>
      <c r="C7" s="165" t="str">
        <f>D조!D9</f>
        <v>-</v>
      </c>
      <c r="D7" s="165">
        <f>D조!E9</f>
        <v>0</v>
      </c>
      <c r="E7" s="166" t="str">
        <f>D조!F9</f>
        <v>이란</v>
      </c>
      <c r="F7" s="165">
        <f>COUNTBLANK(D조!C9:E9)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164" t="str">
        <f>D조!B10</f>
        <v>포르투갈</v>
      </c>
      <c r="B8" s="165">
        <f>D조!C10</f>
        <v>0</v>
      </c>
      <c r="C8" s="165" t="str">
        <f>D조!D10</f>
        <v>-</v>
      </c>
      <c r="D8" s="165">
        <f>D조!E10</f>
        <v>0</v>
      </c>
      <c r="E8" s="166" t="str">
        <f>D조!F10</f>
        <v>멕시코</v>
      </c>
      <c r="F8" s="165">
        <f>COUNTBLANK(D조!C10:E10)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164" t="str">
        <f>D조!B11</f>
        <v>이란</v>
      </c>
      <c r="B9" s="165">
        <f>D조!C11</f>
        <v>0</v>
      </c>
      <c r="C9" s="165" t="str">
        <f>D조!D11</f>
        <v>-</v>
      </c>
      <c r="D9" s="165">
        <f>D조!E11</f>
        <v>0</v>
      </c>
      <c r="E9" s="166" t="str">
        <f>D조!F11</f>
        <v>앙골라</v>
      </c>
      <c r="F9" s="165">
        <f>COUNTBLANK(D조!C11:E11)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49</v>
      </c>
    </row>
    <row r="15" spans="7:35" ht="12.75">
      <c r="G15" t="s">
        <v>43</v>
      </c>
      <c r="H15" t="s">
        <v>44</v>
      </c>
      <c r="I15" t="s">
        <v>45</v>
      </c>
      <c r="J15" t="s">
        <v>46</v>
      </c>
      <c r="K15" t="s">
        <v>47</v>
      </c>
      <c r="L15" t="s">
        <v>48</v>
      </c>
      <c r="M15" t="s">
        <v>50</v>
      </c>
      <c r="O15" t="s">
        <v>51</v>
      </c>
      <c r="S15" t="s">
        <v>52</v>
      </c>
      <c r="W15" t="s">
        <v>53</v>
      </c>
      <c r="AA15" t="s">
        <v>54</v>
      </c>
      <c r="AE15" t="s">
        <v>55</v>
      </c>
      <c r="AI15" t="s">
        <v>56</v>
      </c>
    </row>
    <row r="16" spans="6:36" ht="12.75">
      <c r="F16" t="str">
        <f>G2</f>
        <v>멕시코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멕시코</v>
      </c>
      <c r="P16">
        <f>VLOOKUP(O16,$F$16:$M$25,8,FALSE)</f>
        <v>0</v>
      </c>
      <c r="S16" t="str">
        <f>IF($P16&gt;=$P18,$O16,$O18)</f>
        <v>멕시코</v>
      </c>
      <c r="T16">
        <f>VLOOKUP(S16,$O$16:$P$25,2,FALSE)</f>
        <v>0</v>
      </c>
      <c r="W16" t="str">
        <f>IF($T16&gt;=$T19,$S16,$S19)</f>
        <v>멕시코</v>
      </c>
      <c r="X16">
        <f>VLOOKUP(W16,$S$16:$T$25,2,FALSE)</f>
        <v>0</v>
      </c>
      <c r="AA16" t="str">
        <f>W16</f>
        <v>멕시코</v>
      </c>
      <c r="AB16">
        <f>VLOOKUP(AA16,W16:X25,2,FALSE)</f>
        <v>0</v>
      </c>
      <c r="AE16" t="str">
        <f>AA16</f>
        <v>멕시코</v>
      </c>
      <c r="AF16">
        <f>VLOOKUP(AE16,AA16:AB25,2,FALSE)</f>
        <v>0</v>
      </c>
      <c r="AI16" t="str">
        <f>AE16</f>
        <v>멕시코</v>
      </c>
      <c r="AJ16">
        <f>VLOOKUP(AI16,AE16:AF25,2,FALSE)</f>
        <v>0</v>
      </c>
    </row>
    <row r="17" spans="6:36" ht="12.75">
      <c r="F17" t="str">
        <f>N2</f>
        <v>이란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이란</v>
      </c>
      <c r="P17">
        <f>VLOOKUP(O17,$F$16:$M$25,8,FALSE)</f>
        <v>0</v>
      </c>
      <c r="S17" t="str">
        <f>O17</f>
        <v>이란</v>
      </c>
      <c r="T17">
        <f>VLOOKUP(S17,$O$16:$P$25,2,FALSE)</f>
        <v>0</v>
      </c>
      <c r="W17" t="str">
        <f>S17</f>
        <v>이란</v>
      </c>
      <c r="X17">
        <f>VLOOKUP(W17,$S$16:$T$25,2,FALSE)</f>
        <v>0</v>
      </c>
      <c r="AA17" t="str">
        <f>IF(X17&gt;=X18,W17,W18)</f>
        <v>이란</v>
      </c>
      <c r="AB17">
        <f>VLOOKUP(AA17,W16:X25,2,FALSE)</f>
        <v>0</v>
      </c>
      <c r="AE17" t="str">
        <f>IF(AB17&gt;=AB19,AA17,AA19)</f>
        <v>이란</v>
      </c>
      <c r="AF17">
        <f>VLOOKUP(AE17,AA16:AB25,2,FALSE)</f>
        <v>0</v>
      </c>
      <c r="AI17" t="str">
        <f>AE17</f>
        <v>이란</v>
      </c>
      <c r="AJ17">
        <f>VLOOKUP(AI17,AE16:AF25,2,FALSE)</f>
        <v>0</v>
      </c>
    </row>
    <row r="18" spans="6:36" ht="12.75">
      <c r="F18" t="str">
        <f>U2</f>
        <v>앙골라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앙골라</v>
      </c>
      <c r="P18">
        <f>VLOOKUP(O18,$F$16:$M$25,8,FALSE)</f>
        <v>0</v>
      </c>
      <c r="S18" t="str">
        <f>IF($P18&lt;=$P16,$O18,$O16)</f>
        <v>앙골라</v>
      </c>
      <c r="T18">
        <f>VLOOKUP(S18,$O$16:$P$25,2,FALSE)</f>
        <v>0</v>
      </c>
      <c r="W18" t="str">
        <f>S18</f>
        <v>앙골라</v>
      </c>
      <c r="X18">
        <f>VLOOKUP(W18,$S$16:$T$25,2,FALSE)</f>
        <v>0</v>
      </c>
      <c r="AA18" t="str">
        <f>IF(X18&lt;=X17,W18,W17)</f>
        <v>앙골라</v>
      </c>
      <c r="AB18">
        <f>VLOOKUP(AA18,W16:X25,2,FALSE)</f>
        <v>0</v>
      </c>
      <c r="AE18" t="str">
        <f>AA18</f>
        <v>앙골라</v>
      </c>
      <c r="AF18">
        <f>VLOOKUP(AE18,AA16:AB25,2,FALSE)</f>
        <v>0</v>
      </c>
      <c r="AI18" t="str">
        <f>IF(AF18&gt;=AF19,AE18,AE19)</f>
        <v>앙골라</v>
      </c>
      <c r="AJ18">
        <f>VLOOKUP(AI18,AE16:AF25,2,FALSE)</f>
        <v>0</v>
      </c>
    </row>
    <row r="19" spans="6:36" ht="12.75">
      <c r="F19" t="str">
        <f>AB2</f>
        <v>포르투갈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포르투갈</v>
      </c>
      <c r="P19">
        <f>VLOOKUP(O19,$F$16:$M$25,8,FALSE)</f>
        <v>0</v>
      </c>
      <c r="S19" t="str">
        <f>O19</f>
        <v>포르투갈</v>
      </c>
      <c r="T19">
        <f>VLOOKUP(S19,$O$16:$P$25,2,FALSE)</f>
        <v>0</v>
      </c>
      <c r="W19" t="str">
        <f>IF($T19&lt;=$T16,$S19,$S16)</f>
        <v>포르투갈</v>
      </c>
      <c r="X19">
        <f>VLOOKUP(W19,$S$16:$T$25,2,FALSE)</f>
        <v>0</v>
      </c>
      <c r="AA19" t="str">
        <f>W19</f>
        <v>포르투갈</v>
      </c>
      <c r="AB19">
        <f>VLOOKUP(AA19,W16:X25,2,FALSE)</f>
        <v>0</v>
      </c>
      <c r="AE19" t="str">
        <f>IF(AB19&lt;=AB17,AA19,AA17)</f>
        <v>포르투갈</v>
      </c>
      <c r="AF19">
        <f>VLOOKUP(AE19,AA16:AB25,2,FALSE)</f>
        <v>0</v>
      </c>
      <c r="AI19" t="str">
        <f>IF(AF19&lt;=AF18,AE19,AE18)</f>
        <v>포르투갈</v>
      </c>
      <c r="AJ19">
        <f>VLOOKUP(AI19,AE16:AF25,2,FALSE)</f>
        <v>0</v>
      </c>
    </row>
    <row r="28" spans="6:37" ht="12.75">
      <c r="F28" t="str">
        <f>AI16</f>
        <v>멕시코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멕시코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멕시코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멕시코</v>
      </c>
      <c r="X28">
        <f>VLOOKUP(W28,$S$28:$U$37,2,FALSE)</f>
        <v>0</v>
      </c>
      <c r="Y28">
        <f>VLOOKUP(W28,$S$28:$U$37,3,FALSE)</f>
        <v>0</v>
      </c>
      <c r="AA28" t="str">
        <f>W28</f>
        <v>멕시코</v>
      </c>
      <c r="AB28">
        <f>VLOOKUP(AA28,W28:Y37,2,FALSE)</f>
        <v>0</v>
      </c>
      <c r="AC28">
        <f>VLOOKUP(AA28,W28:Y37,3,FALSE)</f>
        <v>0</v>
      </c>
      <c r="AE28" t="str">
        <f>AA28</f>
        <v>멕시코</v>
      </c>
      <c r="AF28">
        <f>VLOOKUP(AE28,AA28:AC37,2,FALSE)</f>
        <v>0</v>
      </c>
      <c r="AG28">
        <f>VLOOKUP(AE28,AA28:AC37,3,FALSE)</f>
        <v>0</v>
      </c>
      <c r="AI28" t="str">
        <f>AE28</f>
        <v>멕시코</v>
      </c>
      <c r="AJ28">
        <f>VLOOKUP(AI28,AE28:AG37,2,FALSE)</f>
        <v>0</v>
      </c>
      <c r="AK28">
        <f>VLOOKUP(AI28,AE28:AG37,3,FALSE)</f>
        <v>0</v>
      </c>
    </row>
    <row r="29" spans="6:37" ht="12.75">
      <c r="F29" t="str">
        <f>AI17</f>
        <v>이란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이란</v>
      </c>
      <c r="P29">
        <f>VLOOKUP(O29,$F$28:$M$37,5,FALSE)</f>
        <v>0</v>
      </c>
      <c r="Q29">
        <f>VLOOKUP(O29,$F$28:$M$37,8,FALSE)</f>
        <v>0</v>
      </c>
      <c r="S29" t="str">
        <f>O29</f>
        <v>이란</v>
      </c>
      <c r="T29">
        <f>VLOOKUP(S29,$O$28:$Q$37,2,FALSE)</f>
        <v>0</v>
      </c>
      <c r="U29">
        <f>VLOOKUP(S29,$O$28:$Q$37,3,FALSE)</f>
        <v>0</v>
      </c>
      <c r="W29" t="str">
        <f>S29</f>
        <v>이란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이란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이란</v>
      </c>
      <c r="AF29">
        <f>VLOOKUP(AE29,AA28:AC37,2,FALSE)</f>
        <v>0</v>
      </c>
      <c r="AG29">
        <f>VLOOKUP(AE29,AA28:AC37,3,FALSE)</f>
        <v>0</v>
      </c>
      <c r="AI29" t="str">
        <f>AE29</f>
        <v>이란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앙골라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앙골라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앙골라</v>
      </c>
      <c r="T30">
        <f>VLOOKUP(S30,$O$28:$Q$37,2,FALSE)</f>
        <v>0</v>
      </c>
      <c r="U30">
        <f>VLOOKUP(S30,$O$28:$Q$37,3,FALSE)</f>
        <v>0</v>
      </c>
      <c r="W30" t="str">
        <f>S30</f>
        <v>앙골라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앙골라</v>
      </c>
      <c r="AB30">
        <f>VLOOKUP(AA30,W28:Y37,2,FALSE)</f>
        <v>0</v>
      </c>
      <c r="AC30">
        <f>VLOOKUP(AA30,W28:Y37,3,FALSE)</f>
        <v>0</v>
      </c>
      <c r="AE30" t="str">
        <f>AA30</f>
        <v>앙골라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앙골라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포르투갈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포르투갈</v>
      </c>
      <c r="P31">
        <f>VLOOKUP(O31,$F$28:$M$37,5,FALSE)</f>
        <v>0</v>
      </c>
      <c r="Q31">
        <f>VLOOKUP(O31,$F$28:$M$37,8,FALSE)</f>
        <v>0</v>
      </c>
      <c r="S31" t="str">
        <f>O31</f>
        <v>포르투갈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포르투갈</v>
      </c>
      <c r="X31">
        <f>VLOOKUP(W31,$S$28:$U$37,2,FALSE)</f>
        <v>0</v>
      </c>
      <c r="Y31">
        <f>VLOOKUP(W31,$S$28:$U$37,3,FALSE)</f>
        <v>0</v>
      </c>
      <c r="AA31" t="str">
        <f>W31</f>
        <v>포르투갈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포르투갈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포르투갈</v>
      </c>
      <c r="AJ31">
        <f>VLOOKUP(AI31,AE28:AG37,2,FALSE)</f>
        <v>0</v>
      </c>
      <c r="AK31">
        <f>VLOOKUP(AI31,AE28:AG37,3,FALSE)</f>
        <v>0</v>
      </c>
    </row>
    <row r="40" spans="6:38" ht="12.75">
      <c r="F40" t="str">
        <f>AI28</f>
        <v>멕시코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멕시코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멕시코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멕시코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멕시코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멕시코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멕시코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 t="str">
        <f>AI29</f>
        <v>이란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이란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이란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이란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이란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이란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이란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앙골라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앙골라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앙골라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앙골라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앙골라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앙골라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앙골라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포르투갈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포르투갈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포르투갈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포르투갈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포르투갈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포르투갈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포르투갈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57</v>
      </c>
    </row>
    <row r="52" spans="6:13" ht="12.75">
      <c r="F52" t="str">
        <f>AI40</f>
        <v>멕시코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 t="str">
        <f>AI41</f>
        <v>이란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앙골라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포르투갈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mergeCells count="1"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"/>
  <dimension ref="A2:AL55"/>
  <sheetViews>
    <sheetView showGridLines="0" showRowColHeaders="0" showOutlineSymbols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.7109375" style="0" customWidth="1"/>
    <col min="3" max="3" width="1.57421875" style="0" customWidth="1"/>
    <col min="4" max="4" width="2.7109375" style="0" customWidth="1"/>
    <col min="6" max="6" width="10.8515625" style="0" customWidth="1"/>
    <col min="7" max="16384" width="3.7109375" style="0" customWidth="1"/>
  </cols>
  <sheetData>
    <row r="2" spans="1:28" ht="12.75">
      <c r="A2" s="235" t="s">
        <v>41</v>
      </c>
      <c r="B2" s="235"/>
      <c r="C2" s="235"/>
      <c r="D2" s="235"/>
      <c r="E2" s="235"/>
      <c r="G2" t="str">
        <f>C조!Q7</f>
        <v>아르헨티나</v>
      </c>
      <c r="N2" t="str">
        <f>C조!Q9</f>
        <v>코티드브아르</v>
      </c>
      <c r="U2" t="str">
        <f>C조!Q11</f>
        <v>세르비아</v>
      </c>
      <c r="AB2" t="str">
        <f>C조!Q13</f>
        <v>네덜란드</v>
      </c>
    </row>
    <row r="3" spans="6:33" ht="12.75">
      <c r="F3" t="s">
        <v>42</v>
      </c>
      <c r="G3" t="s">
        <v>43</v>
      </c>
      <c r="H3" t="s">
        <v>44</v>
      </c>
      <c r="I3" t="s">
        <v>45</v>
      </c>
      <c r="J3" t="s">
        <v>46</v>
      </c>
      <c r="K3" t="s">
        <v>47</v>
      </c>
      <c r="L3" t="s">
        <v>48</v>
      </c>
      <c r="N3" t="s">
        <v>43</v>
      </c>
      <c r="O3" t="s">
        <v>44</v>
      </c>
      <c r="P3" t="s">
        <v>45</v>
      </c>
      <c r="Q3" t="s">
        <v>46</v>
      </c>
      <c r="R3" t="s">
        <v>47</v>
      </c>
      <c r="S3" t="s">
        <v>48</v>
      </c>
      <c r="U3" t="s">
        <v>43</v>
      </c>
      <c r="V3" t="s">
        <v>44</v>
      </c>
      <c r="W3" t="s">
        <v>45</v>
      </c>
      <c r="X3" t="s">
        <v>46</v>
      </c>
      <c r="Y3" t="s">
        <v>47</v>
      </c>
      <c r="Z3" t="s">
        <v>48</v>
      </c>
      <c r="AB3" t="s">
        <v>43</v>
      </c>
      <c r="AC3" t="s">
        <v>44</v>
      </c>
      <c r="AD3" t="s">
        <v>45</v>
      </c>
      <c r="AE3" t="s">
        <v>46</v>
      </c>
      <c r="AF3" t="s">
        <v>47</v>
      </c>
      <c r="AG3" t="s">
        <v>48</v>
      </c>
    </row>
    <row r="4" spans="1:33" ht="12.75">
      <c r="A4" s="164" t="str">
        <f>C조!B6</f>
        <v>아르헨티나</v>
      </c>
      <c r="B4" s="165">
        <f>C조!C6</f>
        <v>0</v>
      </c>
      <c r="C4" s="165" t="str">
        <f>C조!D6</f>
        <v>-</v>
      </c>
      <c r="D4" s="165">
        <f>C조!E6</f>
        <v>0</v>
      </c>
      <c r="E4" s="166" t="str">
        <f>C조!F6</f>
        <v>코티드브아르</v>
      </c>
      <c r="F4" s="165">
        <f>COUNTBLANK(C조!C6:E6)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164" t="str">
        <f>C조!B7</f>
        <v>세르비아</v>
      </c>
      <c r="B5" s="165">
        <f>C조!C7</f>
        <v>0</v>
      </c>
      <c r="C5" s="165" t="str">
        <f>C조!D7</f>
        <v>-</v>
      </c>
      <c r="D5" s="165">
        <f>C조!E7</f>
        <v>0</v>
      </c>
      <c r="E5" s="166" t="str">
        <f>C조!F7</f>
        <v>네덜란드</v>
      </c>
      <c r="F5" s="165">
        <f>COUNTBLANK(C조!C7:E7)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164" t="str">
        <f>C조!B8</f>
        <v>아르헨티나</v>
      </c>
      <c r="B6" s="165">
        <f>C조!C8</f>
        <v>0</v>
      </c>
      <c r="C6" s="165" t="str">
        <f>C조!D8</f>
        <v>-</v>
      </c>
      <c r="D6" s="165">
        <f>C조!E8</f>
        <v>0</v>
      </c>
      <c r="E6" s="166" t="str">
        <f>C조!F8</f>
        <v>세르비아</v>
      </c>
      <c r="F6" s="165">
        <f>COUNTBLANK(C조!C8:E8)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164" t="str">
        <f>C조!B9</f>
        <v>네덜란드</v>
      </c>
      <c r="B7" s="165">
        <f>C조!C9</f>
        <v>0</v>
      </c>
      <c r="C7" s="165" t="str">
        <f>C조!D9</f>
        <v>-</v>
      </c>
      <c r="D7" s="165">
        <f>C조!E9</f>
        <v>0</v>
      </c>
      <c r="E7" s="166" t="str">
        <f>C조!F9</f>
        <v>코티드브아르</v>
      </c>
      <c r="F7" s="165">
        <f>COUNTBLANK(C조!C9:E9)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164" t="str">
        <f>C조!B10</f>
        <v>네덜란드</v>
      </c>
      <c r="B8" s="165">
        <f>C조!C10</f>
        <v>0</v>
      </c>
      <c r="C8" s="165" t="str">
        <f>C조!D10</f>
        <v>-</v>
      </c>
      <c r="D8" s="165">
        <f>C조!E10</f>
        <v>0</v>
      </c>
      <c r="E8" s="166" t="str">
        <f>C조!F10</f>
        <v>아르헨티나</v>
      </c>
      <c r="F8" s="165">
        <f>COUNTBLANK(C조!C10:E10)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164" t="str">
        <f>C조!B11</f>
        <v>코티드브아르</v>
      </c>
      <c r="B9" s="165">
        <f>C조!C11</f>
        <v>0</v>
      </c>
      <c r="C9" s="165" t="str">
        <f>C조!D11</f>
        <v>-</v>
      </c>
      <c r="D9" s="165">
        <f>C조!E11</f>
        <v>0</v>
      </c>
      <c r="E9" s="166" t="str">
        <f>C조!F11</f>
        <v>세르비아</v>
      </c>
      <c r="F9" s="165">
        <f>COUNTBLANK(C조!C11:E11)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49</v>
      </c>
    </row>
    <row r="15" spans="7:35" ht="12.75">
      <c r="G15" t="s">
        <v>43</v>
      </c>
      <c r="H15" t="s">
        <v>44</v>
      </c>
      <c r="I15" t="s">
        <v>45</v>
      </c>
      <c r="J15" t="s">
        <v>46</v>
      </c>
      <c r="K15" t="s">
        <v>47</v>
      </c>
      <c r="L15" t="s">
        <v>48</v>
      </c>
      <c r="M15" t="s">
        <v>50</v>
      </c>
      <c r="O15" t="s">
        <v>51</v>
      </c>
      <c r="S15" t="s">
        <v>52</v>
      </c>
      <c r="W15" t="s">
        <v>53</v>
      </c>
      <c r="AA15" t="s">
        <v>54</v>
      </c>
      <c r="AE15" t="s">
        <v>55</v>
      </c>
      <c r="AI15" t="s">
        <v>56</v>
      </c>
    </row>
    <row r="16" spans="6:36" ht="12.75">
      <c r="F16" t="str">
        <f>G2</f>
        <v>아르헨티나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아르헨티나</v>
      </c>
      <c r="P16">
        <f>VLOOKUP(O16,$F$16:$M$25,8,FALSE)</f>
        <v>0</v>
      </c>
      <c r="S16" t="str">
        <f>IF($P16&gt;=$P18,$O16,$O18)</f>
        <v>아르헨티나</v>
      </c>
      <c r="T16">
        <f>VLOOKUP(S16,$O$16:$P$25,2,FALSE)</f>
        <v>0</v>
      </c>
      <c r="W16" t="str">
        <f>IF($T16&gt;=$T19,$S16,$S19)</f>
        <v>아르헨티나</v>
      </c>
      <c r="X16">
        <f>VLOOKUP(W16,$S$16:$T$25,2,FALSE)</f>
        <v>0</v>
      </c>
      <c r="AA16" t="str">
        <f>W16</f>
        <v>아르헨티나</v>
      </c>
      <c r="AB16">
        <f>VLOOKUP(AA16,W16:X25,2,FALSE)</f>
        <v>0</v>
      </c>
      <c r="AE16" t="str">
        <f>AA16</f>
        <v>아르헨티나</v>
      </c>
      <c r="AF16">
        <f>VLOOKUP(AE16,AA16:AB25,2,FALSE)</f>
        <v>0</v>
      </c>
      <c r="AI16" t="str">
        <f>AE16</f>
        <v>아르헨티나</v>
      </c>
      <c r="AJ16">
        <f>VLOOKUP(AI16,AE16:AF25,2,FALSE)</f>
        <v>0</v>
      </c>
    </row>
    <row r="17" spans="6:36" ht="12.75">
      <c r="F17" t="str">
        <f>N2</f>
        <v>코티드브아르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코티드브아르</v>
      </c>
      <c r="P17">
        <f>VLOOKUP(O17,$F$16:$M$25,8,FALSE)</f>
        <v>0</v>
      </c>
      <c r="S17" t="str">
        <f>O17</f>
        <v>코티드브아르</v>
      </c>
      <c r="T17">
        <f>VLOOKUP(S17,$O$16:$P$25,2,FALSE)</f>
        <v>0</v>
      </c>
      <c r="W17" t="str">
        <f>S17</f>
        <v>코티드브아르</v>
      </c>
      <c r="X17">
        <f>VLOOKUP(W17,$S$16:$T$25,2,FALSE)</f>
        <v>0</v>
      </c>
      <c r="AA17" t="str">
        <f>IF(X17&gt;=X18,W17,W18)</f>
        <v>코티드브아르</v>
      </c>
      <c r="AB17">
        <f>VLOOKUP(AA17,W16:X25,2,FALSE)</f>
        <v>0</v>
      </c>
      <c r="AE17" t="str">
        <f>IF(AB17&gt;=AB19,AA17,AA19)</f>
        <v>코티드브아르</v>
      </c>
      <c r="AF17">
        <f>VLOOKUP(AE17,AA16:AB25,2,FALSE)</f>
        <v>0</v>
      </c>
      <c r="AI17" t="str">
        <f>AE17</f>
        <v>코티드브아르</v>
      </c>
      <c r="AJ17">
        <f>VLOOKUP(AI17,AE16:AF25,2,FALSE)</f>
        <v>0</v>
      </c>
    </row>
    <row r="18" spans="6:36" ht="12.75">
      <c r="F18" t="str">
        <f>U2</f>
        <v>세르비아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세르비아</v>
      </c>
      <c r="P18">
        <f>VLOOKUP(O18,$F$16:$M$25,8,FALSE)</f>
        <v>0</v>
      </c>
      <c r="S18" t="str">
        <f>IF($P18&lt;=$P16,$O18,$O16)</f>
        <v>세르비아</v>
      </c>
      <c r="T18">
        <f>VLOOKUP(S18,$O$16:$P$25,2,FALSE)</f>
        <v>0</v>
      </c>
      <c r="W18" t="str">
        <f>S18</f>
        <v>세르비아</v>
      </c>
      <c r="X18">
        <f>VLOOKUP(W18,$S$16:$T$25,2,FALSE)</f>
        <v>0</v>
      </c>
      <c r="AA18" t="str">
        <f>IF(X18&lt;=X17,W18,W17)</f>
        <v>세르비아</v>
      </c>
      <c r="AB18">
        <f>VLOOKUP(AA18,W16:X25,2,FALSE)</f>
        <v>0</v>
      </c>
      <c r="AE18" t="str">
        <f>AA18</f>
        <v>세르비아</v>
      </c>
      <c r="AF18">
        <f>VLOOKUP(AE18,AA16:AB25,2,FALSE)</f>
        <v>0</v>
      </c>
      <c r="AI18" t="str">
        <f>IF(AF18&gt;=AF19,AE18,AE19)</f>
        <v>세르비아</v>
      </c>
      <c r="AJ18">
        <f>VLOOKUP(AI18,AE16:AF25,2,FALSE)</f>
        <v>0</v>
      </c>
    </row>
    <row r="19" spans="6:36" ht="12.75">
      <c r="F19" t="str">
        <f>AB2</f>
        <v>네덜란드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네덜란드</v>
      </c>
      <c r="P19">
        <f>VLOOKUP(O19,$F$16:$M$25,8,FALSE)</f>
        <v>0</v>
      </c>
      <c r="S19" t="str">
        <f>O19</f>
        <v>네덜란드</v>
      </c>
      <c r="T19">
        <f>VLOOKUP(S19,$O$16:$P$25,2,FALSE)</f>
        <v>0</v>
      </c>
      <c r="W19" t="str">
        <f>IF($T19&lt;=$T16,$S19,$S16)</f>
        <v>네덜란드</v>
      </c>
      <c r="X19">
        <f>VLOOKUP(W19,$S$16:$T$25,2,FALSE)</f>
        <v>0</v>
      </c>
      <c r="AA19" t="str">
        <f>W19</f>
        <v>네덜란드</v>
      </c>
      <c r="AB19">
        <f>VLOOKUP(AA19,W16:X25,2,FALSE)</f>
        <v>0</v>
      </c>
      <c r="AE19" t="str">
        <f>IF(AB19&lt;=AB17,AA19,AA17)</f>
        <v>네덜란드</v>
      </c>
      <c r="AF19">
        <f>VLOOKUP(AE19,AA16:AB25,2,FALSE)</f>
        <v>0</v>
      </c>
      <c r="AI19" t="str">
        <f>IF(AF19&lt;=AF18,AE19,AE18)</f>
        <v>네덜란드</v>
      </c>
      <c r="AJ19">
        <f>VLOOKUP(AI19,AE16:AF25,2,FALSE)</f>
        <v>0</v>
      </c>
    </row>
    <row r="28" spans="6:37" ht="12.75">
      <c r="F28" t="str">
        <f>AI16</f>
        <v>아르헨티나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아르헨티나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아르헨티나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아르헨티나</v>
      </c>
      <c r="X28">
        <f>VLOOKUP(W28,$S$28:$U$37,2,FALSE)</f>
        <v>0</v>
      </c>
      <c r="Y28">
        <f>VLOOKUP(W28,$S$28:$U$37,3,FALSE)</f>
        <v>0</v>
      </c>
      <c r="AA28" t="str">
        <f>W28</f>
        <v>아르헨티나</v>
      </c>
      <c r="AB28">
        <f>VLOOKUP(AA28,W28:Y37,2,FALSE)</f>
        <v>0</v>
      </c>
      <c r="AC28">
        <f>VLOOKUP(AA28,W28:Y37,3,FALSE)</f>
        <v>0</v>
      </c>
      <c r="AE28" t="str">
        <f>AA28</f>
        <v>아르헨티나</v>
      </c>
      <c r="AF28">
        <f>VLOOKUP(AE28,AA28:AC37,2,FALSE)</f>
        <v>0</v>
      </c>
      <c r="AG28">
        <f>VLOOKUP(AE28,AA28:AC37,3,FALSE)</f>
        <v>0</v>
      </c>
      <c r="AI28" t="str">
        <f>AE28</f>
        <v>아르헨티나</v>
      </c>
      <c r="AJ28">
        <f>VLOOKUP(AI28,AE28:AG37,2,FALSE)</f>
        <v>0</v>
      </c>
      <c r="AK28">
        <f>VLOOKUP(AI28,AE28:AG37,3,FALSE)</f>
        <v>0</v>
      </c>
    </row>
    <row r="29" spans="6:37" ht="12.75">
      <c r="F29" t="str">
        <f>AI17</f>
        <v>코티드브아르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코티드브아르</v>
      </c>
      <c r="P29">
        <f>VLOOKUP(O29,$F$28:$M$37,5,FALSE)</f>
        <v>0</v>
      </c>
      <c r="Q29">
        <f>VLOOKUP(O29,$F$28:$M$37,8,FALSE)</f>
        <v>0</v>
      </c>
      <c r="S29" t="str">
        <f>O29</f>
        <v>코티드브아르</v>
      </c>
      <c r="T29">
        <f>VLOOKUP(S29,$O$28:$Q$37,2,FALSE)</f>
        <v>0</v>
      </c>
      <c r="U29">
        <f>VLOOKUP(S29,$O$28:$Q$37,3,FALSE)</f>
        <v>0</v>
      </c>
      <c r="W29" t="str">
        <f>S29</f>
        <v>코티드브아르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코티드브아르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코티드브아르</v>
      </c>
      <c r="AF29">
        <f>VLOOKUP(AE29,AA28:AC37,2,FALSE)</f>
        <v>0</v>
      </c>
      <c r="AG29">
        <f>VLOOKUP(AE29,AA28:AC37,3,FALSE)</f>
        <v>0</v>
      </c>
      <c r="AI29" t="str">
        <f>AE29</f>
        <v>코티드브아르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세르비아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세르비아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세르비아</v>
      </c>
      <c r="T30">
        <f>VLOOKUP(S30,$O$28:$Q$37,2,FALSE)</f>
        <v>0</v>
      </c>
      <c r="U30">
        <f>VLOOKUP(S30,$O$28:$Q$37,3,FALSE)</f>
        <v>0</v>
      </c>
      <c r="W30" t="str">
        <f>S30</f>
        <v>세르비아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세르비아</v>
      </c>
      <c r="AB30">
        <f>VLOOKUP(AA30,W28:Y37,2,FALSE)</f>
        <v>0</v>
      </c>
      <c r="AC30">
        <f>VLOOKUP(AA30,W28:Y37,3,FALSE)</f>
        <v>0</v>
      </c>
      <c r="AE30" t="str">
        <f>AA30</f>
        <v>세르비아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세르비아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네덜란드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네덜란드</v>
      </c>
      <c r="P31">
        <f>VLOOKUP(O31,$F$28:$M$37,5,FALSE)</f>
        <v>0</v>
      </c>
      <c r="Q31">
        <f>VLOOKUP(O31,$F$28:$M$37,8,FALSE)</f>
        <v>0</v>
      </c>
      <c r="S31" t="str">
        <f>O31</f>
        <v>네덜란드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네덜란드</v>
      </c>
      <c r="X31">
        <f>VLOOKUP(W31,$S$28:$U$37,2,FALSE)</f>
        <v>0</v>
      </c>
      <c r="Y31">
        <f>VLOOKUP(W31,$S$28:$U$37,3,FALSE)</f>
        <v>0</v>
      </c>
      <c r="AA31" t="str">
        <f>W31</f>
        <v>네덜란드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네덜란드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네덜란드</v>
      </c>
      <c r="AJ31">
        <f>VLOOKUP(AI31,AE28:AG37,2,FALSE)</f>
        <v>0</v>
      </c>
      <c r="AK31">
        <f>VLOOKUP(AI31,AE28:AG37,3,FALSE)</f>
        <v>0</v>
      </c>
    </row>
    <row r="40" spans="6:38" ht="12.75">
      <c r="F40" t="str">
        <f>AI28</f>
        <v>아르헨티나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아르헨티나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아르헨티나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아르헨티나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아르헨티나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아르헨티나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아르헨티나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 t="str">
        <f>AI29</f>
        <v>코티드브아르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코티드브아르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코티드브아르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코티드브아르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코티드브아르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코티드브아르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코티드브아르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세르비아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세르비아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세르비아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세르비아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세르비아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세르비아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세르비아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네덜란드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네덜란드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네덜란드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네덜란드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네덜란드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네덜란드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네덜란드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57</v>
      </c>
    </row>
    <row r="52" spans="6:13" ht="12.75">
      <c r="F52" t="str">
        <f>AI40</f>
        <v>아르헨티나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 t="str">
        <f>AI41</f>
        <v>코티드브아르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세르비아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네덜란드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mergeCells count="1"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L55"/>
  <sheetViews>
    <sheetView showGridLines="0" showRowColHeaders="0" showOutlineSymbols="0" workbookViewId="0" topLeftCell="A11">
      <pane xSplit="5" topLeftCell="T1" activePane="topRight" state="frozen"/>
      <selection pane="topLeft" activeCell="A11" sqref="A11"/>
      <selection pane="topRight" activeCell="AB16" sqref="AB16"/>
    </sheetView>
  </sheetViews>
  <sheetFormatPr defaultColWidth="9.140625" defaultRowHeight="12.75"/>
  <cols>
    <col min="2" max="2" width="2.7109375" style="0" customWidth="1"/>
    <col min="3" max="3" width="1.57421875" style="0" customWidth="1"/>
    <col min="4" max="4" width="2.7109375" style="0" customWidth="1"/>
    <col min="6" max="6" width="10.8515625" style="0" customWidth="1"/>
    <col min="7" max="16384" width="3.7109375" style="0" customWidth="1"/>
  </cols>
  <sheetData>
    <row r="2" spans="1:28" ht="12.75">
      <c r="A2" s="235" t="s">
        <v>41</v>
      </c>
      <c r="B2" s="235"/>
      <c r="C2" s="235"/>
      <c r="D2" s="235"/>
      <c r="E2" s="235"/>
      <c r="G2" t="str">
        <f>A조!Q7</f>
        <v>독일</v>
      </c>
      <c r="N2" t="str">
        <f>A조!Q9</f>
        <v>코스타리카</v>
      </c>
      <c r="U2" t="str">
        <f>A조!Q11</f>
        <v>폴란드</v>
      </c>
      <c r="AB2" t="str">
        <f>A조!Q13</f>
        <v>에콰도르</v>
      </c>
    </row>
    <row r="3" spans="6:33" ht="12.75">
      <c r="F3" t="s">
        <v>42</v>
      </c>
      <c r="G3" t="s">
        <v>43</v>
      </c>
      <c r="H3" t="s">
        <v>44</v>
      </c>
      <c r="I3" t="s">
        <v>45</v>
      </c>
      <c r="J3" t="s">
        <v>46</v>
      </c>
      <c r="K3" t="s">
        <v>47</v>
      </c>
      <c r="L3" t="s">
        <v>48</v>
      </c>
      <c r="N3" t="s">
        <v>43</v>
      </c>
      <c r="O3" t="s">
        <v>44</v>
      </c>
      <c r="P3" t="s">
        <v>45</v>
      </c>
      <c r="Q3" t="s">
        <v>46</v>
      </c>
      <c r="R3" t="s">
        <v>47</v>
      </c>
      <c r="S3" t="s">
        <v>48</v>
      </c>
      <c r="U3" t="s">
        <v>43</v>
      </c>
      <c r="V3" t="s">
        <v>44</v>
      </c>
      <c r="W3" t="s">
        <v>45</v>
      </c>
      <c r="X3" t="s">
        <v>46</v>
      </c>
      <c r="Y3" t="s">
        <v>47</v>
      </c>
      <c r="Z3" t="s">
        <v>48</v>
      </c>
      <c r="AB3" t="s">
        <v>43</v>
      </c>
      <c r="AC3" t="s">
        <v>44</v>
      </c>
      <c r="AD3" t="s">
        <v>45</v>
      </c>
      <c r="AE3" t="s">
        <v>46</v>
      </c>
      <c r="AF3" t="s">
        <v>47</v>
      </c>
      <c r="AG3" t="s">
        <v>48</v>
      </c>
    </row>
    <row r="4" spans="1:33" ht="12.75">
      <c r="A4" s="164" t="str">
        <f>A조!B6</f>
        <v>독일</v>
      </c>
      <c r="B4" s="165">
        <f>A조!C6</f>
        <v>0</v>
      </c>
      <c r="C4" s="165" t="str">
        <f>A조!D6</f>
        <v>-</v>
      </c>
      <c r="D4" s="165">
        <f>A조!E6</f>
        <v>0</v>
      </c>
      <c r="E4" s="166" t="str">
        <f>A조!F6</f>
        <v>코스타리카</v>
      </c>
      <c r="F4" s="165">
        <f>COUNTBLANK(A조!C6:E6)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164" t="str">
        <f>A조!B7</f>
        <v>폴란드</v>
      </c>
      <c r="B5" s="165">
        <f>A조!C7</f>
        <v>0</v>
      </c>
      <c r="C5" s="165" t="str">
        <f>A조!D7</f>
        <v>-</v>
      </c>
      <c r="D5" s="165">
        <f>A조!E7</f>
        <v>0</v>
      </c>
      <c r="E5" s="166" t="str">
        <f>A조!F7</f>
        <v>에콰도르</v>
      </c>
      <c r="F5" s="165">
        <f>COUNTBLANK(A조!C7:E7)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164" t="str">
        <f>A조!B8</f>
        <v>독일</v>
      </c>
      <c r="B6" s="165">
        <f>A조!C8</f>
        <v>0</v>
      </c>
      <c r="C6" s="165" t="str">
        <f>A조!D8</f>
        <v>-</v>
      </c>
      <c r="D6" s="165">
        <f>A조!E8</f>
        <v>0</v>
      </c>
      <c r="E6" s="166" t="str">
        <f>A조!F8</f>
        <v>폴란드</v>
      </c>
      <c r="F6" s="165">
        <f>COUNTBLANK(A조!C8:E8)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164" t="str">
        <f>A조!B9</f>
        <v>에콰도르</v>
      </c>
      <c r="B7" s="165">
        <f>A조!C9</f>
        <v>0</v>
      </c>
      <c r="C7" s="165" t="str">
        <f>A조!D9</f>
        <v>-</v>
      </c>
      <c r="D7" s="165">
        <f>A조!E9</f>
        <v>0</v>
      </c>
      <c r="E7" s="166" t="str">
        <f>A조!F9</f>
        <v>코스타리카</v>
      </c>
      <c r="F7" s="165">
        <f>COUNTBLANK(A조!C9:E9)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164" t="str">
        <f>A조!B10</f>
        <v>에콰도르</v>
      </c>
      <c r="B8" s="165">
        <f>A조!C10</f>
        <v>0</v>
      </c>
      <c r="C8" s="165" t="str">
        <f>A조!D10</f>
        <v>-</v>
      </c>
      <c r="D8" s="165">
        <f>A조!E10</f>
        <v>0</v>
      </c>
      <c r="E8" s="166" t="str">
        <f>A조!F10</f>
        <v>독일</v>
      </c>
      <c r="F8" s="165">
        <f>COUNTBLANK(A조!C10:E10)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164" t="str">
        <f>A조!B11</f>
        <v>코스타리카</v>
      </c>
      <c r="B9" s="165">
        <f>A조!C11</f>
        <v>0</v>
      </c>
      <c r="C9" s="165" t="str">
        <f>A조!D11</f>
        <v>-</v>
      </c>
      <c r="D9" s="165">
        <f>A조!E11</f>
        <v>0</v>
      </c>
      <c r="E9" s="166" t="str">
        <f>A조!F11</f>
        <v>폴란드</v>
      </c>
      <c r="F9" s="165">
        <f>COUNTBLANK(A조!C11:E11)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49</v>
      </c>
    </row>
    <row r="15" spans="7:35" ht="12.75">
      <c r="G15" t="s">
        <v>43</v>
      </c>
      <c r="H15" t="s">
        <v>44</v>
      </c>
      <c r="I15" t="s">
        <v>45</v>
      </c>
      <c r="J15" t="s">
        <v>46</v>
      </c>
      <c r="K15" t="s">
        <v>47</v>
      </c>
      <c r="L15" t="s">
        <v>48</v>
      </c>
      <c r="M15" t="s">
        <v>50</v>
      </c>
      <c r="O15" t="s">
        <v>51</v>
      </c>
      <c r="S15" t="s">
        <v>52</v>
      </c>
      <c r="W15" t="s">
        <v>53</v>
      </c>
      <c r="AA15" t="s">
        <v>54</v>
      </c>
      <c r="AE15" t="s">
        <v>55</v>
      </c>
      <c r="AI15" t="s">
        <v>56</v>
      </c>
    </row>
    <row r="16" spans="6:36" ht="12.75">
      <c r="F16" t="str">
        <f>G2</f>
        <v>독일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독일</v>
      </c>
      <c r="P16">
        <f>VLOOKUP(O16,$F$16:$M$25,8,FALSE)</f>
        <v>0</v>
      </c>
      <c r="S16" t="str">
        <f>IF($P16&gt;=$P18,$O16,$O18)</f>
        <v>독일</v>
      </c>
      <c r="T16">
        <f>VLOOKUP(S16,$O$16:$P$25,2,FALSE)</f>
        <v>0</v>
      </c>
      <c r="W16" t="str">
        <f>IF($T16&gt;=$T19,$S16,$S19)</f>
        <v>독일</v>
      </c>
      <c r="X16">
        <f>VLOOKUP(W16,$S$16:$T$25,2,FALSE)</f>
        <v>0</v>
      </c>
      <c r="AA16" t="str">
        <f>W16</f>
        <v>독일</v>
      </c>
      <c r="AB16">
        <f>VLOOKUP(AA16,W16:X25,2,FALSE)</f>
        <v>0</v>
      </c>
      <c r="AE16" t="str">
        <f>AA16</f>
        <v>독일</v>
      </c>
      <c r="AF16">
        <f>VLOOKUP(AE16,AA16:AB25,2,FALSE)</f>
        <v>0</v>
      </c>
      <c r="AI16" t="str">
        <f>AE16</f>
        <v>독일</v>
      </c>
      <c r="AJ16">
        <f>VLOOKUP(AI16,AE16:AF25,2,FALSE)</f>
        <v>0</v>
      </c>
    </row>
    <row r="17" spans="6:36" ht="12.75">
      <c r="F17" t="str">
        <f>N2</f>
        <v>코스타리카</v>
      </c>
      <c r="G17">
        <f aca="true" t="shared" si="29" ref="G17:L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>T10</f>
        <v>0</v>
      </c>
      <c r="O17" t="str">
        <f>IF($M17&lt;=$M16,$F17,$F16)</f>
        <v>코스타리카</v>
      </c>
      <c r="P17">
        <f>VLOOKUP(O17,$F$16:$M$25,8,FALSE)</f>
        <v>0</v>
      </c>
      <c r="S17" t="str">
        <f>O17</f>
        <v>코스타리카</v>
      </c>
      <c r="T17">
        <f>VLOOKUP(S17,$O$16:$P$25,2,FALSE)</f>
        <v>0</v>
      </c>
      <c r="W17" t="str">
        <f>S17</f>
        <v>코스타리카</v>
      </c>
      <c r="X17">
        <f>VLOOKUP(W17,$S$16:$T$25,2,FALSE)</f>
        <v>0</v>
      </c>
      <c r="AA17" t="str">
        <f>IF(X17&gt;=X18,W17,W18)</f>
        <v>코스타리카</v>
      </c>
      <c r="AB17">
        <f>VLOOKUP(AA17,W16:X25,2,FALSE)</f>
        <v>0</v>
      </c>
      <c r="AE17" t="str">
        <f>IF(AB17&gt;=AB19,AA17,AA19)</f>
        <v>코스타리카</v>
      </c>
      <c r="AF17">
        <f>VLOOKUP(AE17,AA16:AB25,2,FALSE)</f>
        <v>0</v>
      </c>
      <c r="AI17" t="str">
        <f>AE17</f>
        <v>코스타리카</v>
      </c>
      <c r="AJ17">
        <f>VLOOKUP(AI17,AE16:AF25,2,FALSE)</f>
        <v>0</v>
      </c>
    </row>
    <row r="18" spans="6:36" ht="12.75">
      <c r="F18" t="str">
        <f>U2</f>
        <v>폴란드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폴란드</v>
      </c>
      <c r="P18">
        <f>VLOOKUP(O18,$F$16:$M$25,8,FALSE)</f>
        <v>0</v>
      </c>
      <c r="S18" t="str">
        <f>IF($P18&lt;=$P16,$O18,$O16)</f>
        <v>폴란드</v>
      </c>
      <c r="T18">
        <f>VLOOKUP(S18,$O$16:$P$25,2,FALSE)</f>
        <v>0</v>
      </c>
      <c r="W18" t="str">
        <f>S18</f>
        <v>폴란드</v>
      </c>
      <c r="X18">
        <f>VLOOKUP(W18,$S$16:$T$25,2,FALSE)</f>
        <v>0</v>
      </c>
      <c r="AA18" t="str">
        <f>IF(X18&lt;=X17,W18,W17)</f>
        <v>폴란드</v>
      </c>
      <c r="AB18">
        <f>VLOOKUP(AA18,W16:X25,2,FALSE)</f>
        <v>0</v>
      </c>
      <c r="AE18" t="str">
        <f>AA18</f>
        <v>폴란드</v>
      </c>
      <c r="AF18">
        <f>VLOOKUP(AE18,AA16:AB25,2,FALSE)</f>
        <v>0</v>
      </c>
      <c r="AI18" t="str">
        <f>IF(AF18&gt;=AF19,AE18,AE19)</f>
        <v>폴란드</v>
      </c>
      <c r="AJ18">
        <f>VLOOKUP(AI18,AE16:AF25,2,FALSE)</f>
        <v>0</v>
      </c>
    </row>
    <row r="19" spans="6:36" ht="12.75">
      <c r="F19" t="str">
        <f>AB2</f>
        <v>에콰도르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에콰도르</v>
      </c>
      <c r="P19">
        <f>VLOOKUP(O19,$F$16:$M$25,8,FALSE)</f>
        <v>0</v>
      </c>
      <c r="S19" t="str">
        <f>O19</f>
        <v>에콰도르</v>
      </c>
      <c r="T19">
        <f>VLOOKUP(S19,$O$16:$P$25,2,FALSE)</f>
        <v>0</v>
      </c>
      <c r="W19" t="str">
        <f>IF($T19&lt;=$T16,$S19,$S16)</f>
        <v>에콰도르</v>
      </c>
      <c r="X19">
        <f>VLOOKUP(W19,$S$16:$T$25,2,FALSE)</f>
        <v>0</v>
      </c>
      <c r="AA19" t="str">
        <f>W19</f>
        <v>에콰도르</v>
      </c>
      <c r="AB19">
        <f>VLOOKUP(AA19,W16:X25,2,FALSE)</f>
        <v>0</v>
      </c>
      <c r="AE19" t="str">
        <f>IF(AB19&lt;=AB17,AA19,AA17)</f>
        <v>에콰도르</v>
      </c>
      <c r="AF19">
        <f>VLOOKUP(AE19,AA16:AB25,2,FALSE)</f>
        <v>0</v>
      </c>
      <c r="AI19" t="str">
        <f>IF(AF19&lt;=AF18,AE19,AE18)</f>
        <v>에콰도르</v>
      </c>
      <c r="AJ19">
        <f>VLOOKUP(AI19,AE16:AF25,2,FALSE)</f>
        <v>0</v>
      </c>
    </row>
    <row r="28" spans="6:37" ht="12.75">
      <c r="F28" t="str">
        <f>AI16</f>
        <v>독일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독일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독일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독일</v>
      </c>
      <c r="X28">
        <f>VLOOKUP(W28,$S$28:$U$37,2,FALSE)</f>
        <v>0</v>
      </c>
      <c r="Y28">
        <f>VLOOKUP(W28,$S$28:$U$37,3,FALSE)</f>
        <v>0</v>
      </c>
      <c r="AA28" t="str">
        <f>W28</f>
        <v>독일</v>
      </c>
      <c r="AB28">
        <f>VLOOKUP(AA28,W28:Y37,2,FALSE)</f>
        <v>0</v>
      </c>
      <c r="AC28">
        <f>VLOOKUP(AA28,W28:Y37,3,FALSE)</f>
        <v>0</v>
      </c>
      <c r="AE28" t="str">
        <f>AA28</f>
        <v>독일</v>
      </c>
      <c r="AF28">
        <f>VLOOKUP(AE28,AA28:AC37,2,FALSE)</f>
        <v>0</v>
      </c>
      <c r="AG28">
        <f>VLOOKUP(AE28,AA28:AC37,3,FALSE)</f>
        <v>0</v>
      </c>
      <c r="AI28" t="str">
        <f>AE28</f>
        <v>독일</v>
      </c>
      <c r="AJ28">
        <f>VLOOKUP(AI28,AE28:AG37,2,FALSE)</f>
        <v>0</v>
      </c>
      <c r="AK28">
        <f>VLOOKUP(AI28,AE28:AG37,3,FALSE)</f>
        <v>0</v>
      </c>
    </row>
    <row r="29" spans="6:37" ht="12.75">
      <c r="F29" t="str">
        <f>AI17</f>
        <v>코스타리카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코스타리카</v>
      </c>
      <c r="P29">
        <f>VLOOKUP(O29,$F$28:$M$37,5,FALSE)</f>
        <v>0</v>
      </c>
      <c r="Q29">
        <f>VLOOKUP(O29,$F$28:$M$37,8,FALSE)</f>
        <v>0</v>
      </c>
      <c r="S29" t="str">
        <f>O29</f>
        <v>코스타리카</v>
      </c>
      <c r="T29">
        <f>VLOOKUP(S29,$O$28:$Q$37,2,FALSE)</f>
        <v>0</v>
      </c>
      <c r="U29">
        <f>VLOOKUP(S29,$O$28:$Q$37,3,FALSE)</f>
        <v>0</v>
      </c>
      <c r="W29" t="str">
        <f>S29</f>
        <v>코스타리카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코스타리카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코스타리카</v>
      </c>
      <c r="AF29">
        <f>VLOOKUP(AE29,AA28:AC37,2,FALSE)</f>
        <v>0</v>
      </c>
      <c r="AG29">
        <f>VLOOKUP(AE29,AA28:AC37,3,FALSE)</f>
        <v>0</v>
      </c>
      <c r="AI29" t="str">
        <f>AE29</f>
        <v>코스타리카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폴란드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폴란드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폴란드</v>
      </c>
      <c r="T30">
        <f>VLOOKUP(S30,$O$28:$Q$37,2,FALSE)</f>
        <v>0</v>
      </c>
      <c r="U30">
        <f>VLOOKUP(S30,$O$28:$Q$37,3,FALSE)</f>
        <v>0</v>
      </c>
      <c r="W30" t="str">
        <f>S30</f>
        <v>폴란드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폴란드</v>
      </c>
      <c r="AB30">
        <f>VLOOKUP(AA30,W28:Y37,2,FALSE)</f>
        <v>0</v>
      </c>
      <c r="AC30">
        <f>VLOOKUP(AA30,W28:Y37,3,FALSE)</f>
        <v>0</v>
      </c>
      <c r="AE30" t="str">
        <f>AA30</f>
        <v>폴란드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폴란드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에콰도르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에콰도르</v>
      </c>
      <c r="P31">
        <f>VLOOKUP(O31,$F$28:$M$37,5,FALSE)</f>
        <v>0</v>
      </c>
      <c r="Q31">
        <f>VLOOKUP(O31,$F$28:$M$37,8,FALSE)</f>
        <v>0</v>
      </c>
      <c r="S31" t="str">
        <f>O31</f>
        <v>에콰도르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에콰도르</v>
      </c>
      <c r="X31">
        <f>VLOOKUP(W31,$S$28:$U$37,2,FALSE)</f>
        <v>0</v>
      </c>
      <c r="Y31">
        <f>VLOOKUP(W31,$S$28:$U$37,3,FALSE)</f>
        <v>0</v>
      </c>
      <c r="AA31" t="str">
        <f>W31</f>
        <v>에콰도르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에콰도르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에콰도르</v>
      </c>
      <c r="AJ31">
        <f>VLOOKUP(AI31,AE28:AG37,2,FALSE)</f>
        <v>0</v>
      </c>
      <c r="AK31">
        <f>VLOOKUP(AI31,AE28:AG37,3,FALSE)</f>
        <v>0</v>
      </c>
    </row>
    <row r="40" spans="6:38" ht="12.75">
      <c r="F40" t="str">
        <f>AI28</f>
        <v>독일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독일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독일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독일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독일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독일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독일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 t="str">
        <f>AI29</f>
        <v>코스타리카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코스타리카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코스타리카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코스타리카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코스타리카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코스타리카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코스타리카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폴란드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폴란드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폴란드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폴란드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폴란드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폴란드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폴란드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에콰도르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에콰도르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에콰도르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에콰도르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에콰도르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에콰도르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에콰도르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57</v>
      </c>
    </row>
    <row r="52" spans="6:13" ht="12.75">
      <c r="F52" t="str">
        <f>AI40</f>
        <v>독일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 t="str">
        <f>AI41</f>
        <v>코스타리카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폴란드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에콰도르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mergeCells count="1"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L55"/>
  <sheetViews>
    <sheetView showGridLines="0" showRowColHeaders="0" showOutlineSymbols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.7109375" style="0" customWidth="1"/>
    <col min="3" max="3" width="1.57421875" style="0" customWidth="1"/>
    <col min="4" max="4" width="2.7109375" style="0" customWidth="1"/>
    <col min="6" max="6" width="10.8515625" style="0" customWidth="1"/>
    <col min="7" max="16384" width="3.7109375" style="0" customWidth="1"/>
  </cols>
  <sheetData>
    <row r="2" spans="1:28" ht="12.75">
      <c r="A2" s="235" t="s">
        <v>41</v>
      </c>
      <c r="B2" s="235"/>
      <c r="C2" s="235"/>
      <c r="D2" s="235"/>
      <c r="E2" s="235"/>
      <c r="G2" t="str">
        <f>B조!Q7</f>
        <v>잉글랜드</v>
      </c>
      <c r="N2" t="str">
        <f>B조!Q9</f>
        <v>파라과이</v>
      </c>
      <c r="U2" t="str">
        <f>B조!Q11</f>
        <v>트리니다드토바고</v>
      </c>
      <c r="AB2" t="str">
        <f>B조!Q13</f>
        <v>스웨덴</v>
      </c>
    </row>
    <row r="3" spans="6:33" ht="12.75">
      <c r="F3" t="s">
        <v>42</v>
      </c>
      <c r="G3" t="s">
        <v>43</v>
      </c>
      <c r="H3" t="s">
        <v>44</v>
      </c>
      <c r="I3" t="s">
        <v>45</v>
      </c>
      <c r="J3" t="s">
        <v>46</v>
      </c>
      <c r="K3" t="s">
        <v>47</v>
      </c>
      <c r="L3" t="s">
        <v>48</v>
      </c>
      <c r="N3" t="s">
        <v>43</v>
      </c>
      <c r="O3" t="s">
        <v>44</v>
      </c>
      <c r="P3" t="s">
        <v>45</v>
      </c>
      <c r="Q3" t="s">
        <v>46</v>
      </c>
      <c r="R3" t="s">
        <v>47</v>
      </c>
      <c r="S3" t="s">
        <v>48</v>
      </c>
      <c r="U3" t="s">
        <v>43</v>
      </c>
      <c r="V3" t="s">
        <v>44</v>
      </c>
      <c r="W3" t="s">
        <v>45</v>
      </c>
      <c r="X3" t="s">
        <v>46</v>
      </c>
      <c r="Y3" t="s">
        <v>47</v>
      </c>
      <c r="Z3" t="s">
        <v>48</v>
      </c>
      <c r="AB3" t="s">
        <v>43</v>
      </c>
      <c r="AC3" t="s">
        <v>44</v>
      </c>
      <c r="AD3" t="s">
        <v>45</v>
      </c>
      <c r="AE3" t="s">
        <v>46</v>
      </c>
      <c r="AF3" t="s">
        <v>47</v>
      </c>
      <c r="AG3" t="s">
        <v>48</v>
      </c>
    </row>
    <row r="4" spans="1:33" ht="12.75">
      <c r="A4" s="164" t="str">
        <f>B조!B6</f>
        <v>잉글랜드</v>
      </c>
      <c r="B4" s="165">
        <f>B조!C6</f>
        <v>0</v>
      </c>
      <c r="C4" s="165" t="str">
        <f>B조!D6</f>
        <v>-</v>
      </c>
      <c r="D4" s="165">
        <f>B조!E6</f>
        <v>0</v>
      </c>
      <c r="E4" s="166" t="str">
        <f>B조!F6</f>
        <v>파라과이</v>
      </c>
      <c r="F4" s="165">
        <f>COUNTBLANK(B조!C6:E6)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164" t="str">
        <f>B조!B7</f>
        <v>트리니다드토바고</v>
      </c>
      <c r="B5" s="165">
        <f>B조!C7</f>
        <v>0</v>
      </c>
      <c r="C5" s="165" t="str">
        <f>B조!D7</f>
        <v>-</v>
      </c>
      <c r="D5" s="165">
        <f>B조!E7</f>
        <v>0</v>
      </c>
      <c r="E5" s="166" t="str">
        <f>B조!F7</f>
        <v>스웨덴</v>
      </c>
      <c r="F5" s="165">
        <f>COUNTBLANK(B조!C7:E7)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164" t="str">
        <f>B조!B8</f>
        <v>잉글랜드</v>
      </c>
      <c r="B6" s="165">
        <f>B조!C8</f>
        <v>0</v>
      </c>
      <c r="C6" s="165" t="str">
        <f>B조!D8</f>
        <v>-</v>
      </c>
      <c r="D6" s="165">
        <f>B조!E8</f>
        <v>0</v>
      </c>
      <c r="E6" s="166" t="str">
        <f>B조!F8</f>
        <v>트리니다드토바고</v>
      </c>
      <c r="F6" s="165">
        <f>COUNTBLANK(B조!C8:E8)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164" t="str">
        <f>B조!B9</f>
        <v>스웨덴</v>
      </c>
      <c r="B7" s="165">
        <f>B조!C9</f>
        <v>0</v>
      </c>
      <c r="C7" s="165" t="str">
        <f>B조!D9</f>
        <v>-</v>
      </c>
      <c r="D7" s="165">
        <f>B조!E9</f>
        <v>0</v>
      </c>
      <c r="E7" s="166" t="str">
        <f>B조!F9</f>
        <v>파라과이</v>
      </c>
      <c r="F7" s="165">
        <f>COUNTBLANK(B조!C9:E9)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164" t="str">
        <f>B조!B10</f>
        <v>스웨덴</v>
      </c>
      <c r="B8" s="165">
        <f>B조!C10</f>
        <v>0</v>
      </c>
      <c r="C8" s="165" t="str">
        <f>B조!D10</f>
        <v>-</v>
      </c>
      <c r="D8" s="165">
        <f>B조!E10</f>
        <v>0</v>
      </c>
      <c r="E8" s="166" t="str">
        <f>B조!F10</f>
        <v>잉글랜드</v>
      </c>
      <c r="F8" s="165">
        <f>COUNTBLANK(B조!C10:E10)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164" t="str">
        <f>B조!B11</f>
        <v>파라과이</v>
      </c>
      <c r="B9" s="165">
        <f>B조!C11</f>
        <v>0</v>
      </c>
      <c r="C9" s="165" t="str">
        <f>B조!D11</f>
        <v>-</v>
      </c>
      <c r="D9" s="165">
        <f>B조!E11</f>
        <v>0</v>
      </c>
      <c r="E9" s="166" t="str">
        <f>B조!F11</f>
        <v>트리니다드토바고</v>
      </c>
      <c r="F9" s="165">
        <f>COUNTBLANK(B조!C11:E11)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49</v>
      </c>
    </row>
    <row r="15" spans="7:35" ht="12.75">
      <c r="G15" t="s">
        <v>43</v>
      </c>
      <c r="H15" t="s">
        <v>44</v>
      </c>
      <c r="I15" t="s">
        <v>45</v>
      </c>
      <c r="J15" t="s">
        <v>46</v>
      </c>
      <c r="K15" t="s">
        <v>47</v>
      </c>
      <c r="L15" t="s">
        <v>48</v>
      </c>
      <c r="M15" t="s">
        <v>50</v>
      </c>
      <c r="O15" t="s">
        <v>51</v>
      </c>
      <c r="S15" t="s">
        <v>52</v>
      </c>
      <c r="W15" t="s">
        <v>53</v>
      </c>
      <c r="AA15" t="s">
        <v>54</v>
      </c>
      <c r="AE15" t="s">
        <v>55</v>
      </c>
      <c r="AI15" t="s">
        <v>56</v>
      </c>
    </row>
    <row r="16" spans="6:36" ht="12.75">
      <c r="F16" t="str">
        <f>G2</f>
        <v>잉글랜드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잉글랜드</v>
      </c>
      <c r="P16">
        <f>VLOOKUP(O16,$F$16:$M$25,8,FALSE)</f>
        <v>0</v>
      </c>
      <c r="S16" t="str">
        <f>IF($P16&gt;=$P18,$O16,$O18)</f>
        <v>잉글랜드</v>
      </c>
      <c r="T16">
        <f>VLOOKUP(S16,$O$16:$P$25,2,FALSE)</f>
        <v>0</v>
      </c>
      <c r="W16" t="str">
        <f>IF($T16&gt;=$T19,$S16,$S19)</f>
        <v>잉글랜드</v>
      </c>
      <c r="X16">
        <f>VLOOKUP(W16,$S$16:$T$25,2,FALSE)</f>
        <v>0</v>
      </c>
      <c r="AA16" t="str">
        <f>W16</f>
        <v>잉글랜드</v>
      </c>
      <c r="AB16">
        <f>VLOOKUP(AA16,W16:X25,2,FALSE)</f>
        <v>0</v>
      </c>
      <c r="AE16" t="str">
        <f>AA16</f>
        <v>잉글랜드</v>
      </c>
      <c r="AF16">
        <f>VLOOKUP(AE16,AA16:AB25,2,FALSE)</f>
        <v>0</v>
      </c>
      <c r="AI16" t="str">
        <f>AE16</f>
        <v>잉글랜드</v>
      </c>
      <c r="AJ16">
        <f>VLOOKUP(AI16,AE16:AF25,2,FALSE)</f>
        <v>0</v>
      </c>
    </row>
    <row r="17" spans="6:36" ht="12.75">
      <c r="F17" t="str">
        <f>N2</f>
        <v>파라과이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파라과이</v>
      </c>
      <c r="P17">
        <f>VLOOKUP(O17,$F$16:$M$25,8,FALSE)</f>
        <v>0</v>
      </c>
      <c r="S17" t="str">
        <f>O17</f>
        <v>파라과이</v>
      </c>
      <c r="T17">
        <f>VLOOKUP(S17,$O$16:$P$25,2,FALSE)</f>
        <v>0</v>
      </c>
      <c r="W17" t="str">
        <f>S17</f>
        <v>파라과이</v>
      </c>
      <c r="X17">
        <f>VLOOKUP(W17,$S$16:$T$25,2,FALSE)</f>
        <v>0</v>
      </c>
      <c r="AA17" t="str">
        <f>IF(X17&gt;=X18,W17,W18)</f>
        <v>파라과이</v>
      </c>
      <c r="AB17">
        <f>VLOOKUP(AA17,W16:X25,2,FALSE)</f>
        <v>0</v>
      </c>
      <c r="AE17" t="str">
        <f>IF(AB17&gt;=AB19,AA17,AA19)</f>
        <v>파라과이</v>
      </c>
      <c r="AF17">
        <f>VLOOKUP(AE17,AA16:AB25,2,FALSE)</f>
        <v>0</v>
      </c>
      <c r="AI17" t="str">
        <f>AE17</f>
        <v>파라과이</v>
      </c>
      <c r="AJ17">
        <f>VLOOKUP(AI17,AE16:AF25,2,FALSE)</f>
        <v>0</v>
      </c>
    </row>
    <row r="18" spans="6:36" ht="12.75">
      <c r="F18" t="str">
        <f>U2</f>
        <v>트리니다드토바고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트리니다드토바고</v>
      </c>
      <c r="P18">
        <f>VLOOKUP(O18,$F$16:$M$25,8,FALSE)</f>
        <v>0</v>
      </c>
      <c r="S18" t="str">
        <f>IF($P18&lt;=$P16,$O18,$O16)</f>
        <v>트리니다드토바고</v>
      </c>
      <c r="T18">
        <f>VLOOKUP(S18,$O$16:$P$25,2,FALSE)</f>
        <v>0</v>
      </c>
      <c r="W18" t="str">
        <f>S18</f>
        <v>트리니다드토바고</v>
      </c>
      <c r="X18">
        <f>VLOOKUP(W18,$S$16:$T$25,2,FALSE)</f>
        <v>0</v>
      </c>
      <c r="AA18" t="str">
        <f>IF(X18&lt;=X17,W18,W17)</f>
        <v>트리니다드토바고</v>
      </c>
      <c r="AB18">
        <f>VLOOKUP(AA18,W16:X25,2,FALSE)</f>
        <v>0</v>
      </c>
      <c r="AE18" t="str">
        <f>AA18</f>
        <v>트리니다드토바고</v>
      </c>
      <c r="AF18">
        <f>VLOOKUP(AE18,AA16:AB25,2,FALSE)</f>
        <v>0</v>
      </c>
      <c r="AI18" t="str">
        <f>IF(AF18&gt;=AF19,AE18,AE19)</f>
        <v>트리니다드토바고</v>
      </c>
      <c r="AJ18">
        <f>VLOOKUP(AI18,AE16:AF25,2,FALSE)</f>
        <v>0</v>
      </c>
    </row>
    <row r="19" spans="6:36" ht="12.75">
      <c r="F19" t="str">
        <f>AB2</f>
        <v>스웨덴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스웨덴</v>
      </c>
      <c r="P19">
        <f>VLOOKUP(O19,$F$16:$M$25,8,FALSE)</f>
        <v>0</v>
      </c>
      <c r="S19" t="str">
        <f>O19</f>
        <v>스웨덴</v>
      </c>
      <c r="T19">
        <f>VLOOKUP(S19,$O$16:$P$25,2,FALSE)</f>
        <v>0</v>
      </c>
      <c r="W19" t="str">
        <f>IF($T19&lt;=$T16,$S19,$S16)</f>
        <v>스웨덴</v>
      </c>
      <c r="X19">
        <f>VLOOKUP(W19,$S$16:$T$25,2,FALSE)</f>
        <v>0</v>
      </c>
      <c r="AA19" t="str">
        <f>W19</f>
        <v>스웨덴</v>
      </c>
      <c r="AB19">
        <f>VLOOKUP(AA19,W16:X25,2,FALSE)</f>
        <v>0</v>
      </c>
      <c r="AE19" t="str">
        <f>IF(AB19&lt;=AB17,AA19,AA17)</f>
        <v>스웨덴</v>
      </c>
      <c r="AF19">
        <f>VLOOKUP(AE19,AA16:AB25,2,FALSE)</f>
        <v>0</v>
      </c>
      <c r="AI19" t="str">
        <f>IF(AF19&lt;=AF18,AE19,AE18)</f>
        <v>스웨덴</v>
      </c>
      <c r="AJ19">
        <f>VLOOKUP(AI19,AE16:AF25,2,FALSE)</f>
        <v>0</v>
      </c>
    </row>
    <row r="28" spans="6:37" ht="12.75">
      <c r="F28" t="str">
        <f>AI16</f>
        <v>잉글랜드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잉글랜드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잉글랜드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잉글랜드</v>
      </c>
      <c r="X28">
        <f>VLOOKUP(W28,$S$28:$U$37,2,FALSE)</f>
        <v>0</v>
      </c>
      <c r="Y28">
        <f>VLOOKUP(W28,$S$28:$U$37,3,FALSE)</f>
        <v>0</v>
      </c>
      <c r="AA28" t="str">
        <f>W28</f>
        <v>잉글랜드</v>
      </c>
      <c r="AB28">
        <f>VLOOKUP(AA28,W28:Y37,2,FALSE)</f>
        <v>0</v>
      </c>
      <c r="AC28">
        <f>VLOOKUP(AA28,W28:Y37,3,FALSE)</f>
        <v>0</v>
      </c>
      <c r="AE28" t="str">
        <f>AA28</f>
        <v>잉글랜드</v>
      </c>
      <c r="AF28">
        <f>VLOOKUP(AE28,AA28:AC37,2,FALSE)</f>
        <v>0</v>
      </c>
      <c r="AG28">
        <f>VLOOKUP(AE28,AA28:AC37,3,FALSE)</f>
        <v>0</v>
      </c>
      <c r="AI28" t="str">
        <f>AE28</f>
        <v>잉글랜드</v>
      </c>
      <c r="AJ28">
        <f>VLOOKUP(AI28,AE28:AG37,2,FALSE)</f>
        <v>0</v>
      </c>
      <c r="AK28">
        <f>VLOOKUP(AI28,AE28:AG37,3,FALSE)</f>
        <v>0</v>
      </c>
    </row>
    <row r="29" spans="6:37" ht="12.75">
      <c r="F29" t="str">
        <f>AI17</f>
        <v>파라과이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파라과이</v>
      </c>
      <c r="P29">
        <f>VLOOKUP(O29,$F$28:$M$37,5,FALSE)</f>
        <v>0</v>
      </c>
      <c r="Q29">
        <f>VLOOKUP(O29,$F$28:$M$37,8,FALSE)</f>
        <v>0</v>
      </c>
      <c r="S29" t="str">
        <f>O29</f>
        <v>파라과이</v>
      </c>
      <c r="T29">
        <f>VLOOKUP(S29,$O$28:$Q$37,2,FALSE)</f>
        <v>0</v>
      </c>
      <c r="U29">
        <f>VLOOKUP(S29,$O$28:$Q$37,3,FALSE)</f>
        <v>0</v>
      </c>
      <c r="W29" t="str">
        <f>S29</f>
        <v>파라과이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파라과이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파라과이</v>
      </c>
      <c r="AF29">
        <f>VLOOKUP(AE29,AA28:AC37,2,FALSE)</f>
        <v>0</v>
      </c>
      <c r="AG29">
        <f>VLOOKUP(AE29,AA28:AC37,3,FALSE)</f>
        <v>0</v>
      </c>
      <c r="AI29" t="str">
        <f>AE29</f>
        <v>파라과이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트리니다드토바고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트리니다드토바고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트리니다드토바고</v>
      </c>
      <c r="T30">
        <f>VLOOKUP(S30,$O$28:$Q$37,2,FALSE)</f>
        <v>0</v>
      </c>
      <c r="U30">
        <f>VLOOKUP(S30,$O$28:$Q$37,3,FALSE)</f>
        <v>0</v>
      </c>
      <c r="W30" t="str">
        <f>S30</f>
        <v>트리니다드토바고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트리니다드토바고</v>
      </c>
      <c r="AB30">
        <f>VLOOKUP(AA30,W28:Y37,2,FALSE)</f>
        <v>0</v>
      </c>
      <c r="AC30">
        <f>VLOOKUP(AA30,W28:Y37,3,FALSE)</f>
        <v>0</v>
      </c>
      <c r="AE30" t="str">
        <f>AA30</f>
        <v>트리니다드토바고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트리니다드토바고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스웨덴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스웨덴</v>
      </c>
      <c r="P31">
        <f>VLOOKUP(O31,$F$28:$M$37,5,FALSE)</f>
        <v>0</v>
      </c>
      <c r="Q31">
        <f>VLOOKUP(O31,$F$28:$M$37,8,FALSE)</f>
        <v>0</v>
      </c>
      <c r="S31" t="str">
        <f>O31</f>
        <v>스웨덴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스웨덴</v>
      </c>
      <c r="X31">
        <f>VLOOKUP(W31,$S$28:$U$37,2,FALSE)</f>
        <v>0</v>
      </c>
      <c r="Y31">
        <f>VLOOKUP(W31,$S$28:$U$37,3,FALSE)</f>
        <v>0</v>
      </c>
      <c r="AA31" t="str">
        <f>W31</f>
        <v>스웨덴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스웨덴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스웨덴</v>
      </c>
      <c r="AJ31">
        <f>VLOOKUP(AI31,AE28:AG37,2,FALSE)</f>
        <v>0</v>
      </c>
      <c r="AK31">
        <f>VLOOKUP(AI31,AE28:AG37,3,FALSE)</f>
        <v>0</v>
      </c>
    </row>
    <row r="40" spans="6:38" ht="12.75">
      <c r="F40" t="str">
        <f>AI28</f>
        <v>잉글랜드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잉글랜드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잉글랜드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잉글랜드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잉글랜드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잉글랜드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잉글랜드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 t="str">
        <f>AI29</f>
        <v>파라과이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파라과이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파라과이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파라과이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파라과이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파라과이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파라과이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트리니다드토바고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트리니다드토바고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트리니다드토바고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트리니다드토바고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트리니다드토바고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트리니다드토바고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트리니다드토바고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스웨덴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스웨덴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스웨덴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스웨덴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스웨덴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스웨덴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스웨덴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57</v>
      </c>
    </row>
    <row r="52" spans="6:13" ht="12.75">
      <c r="F52" t="str">
        <f>AI40</f>
        <v>잉글랜드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 t="str">
        <f>AI41</f>
        <v>파라과이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트리니다드토바고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스웨덴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mergeCells count="1"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17"/>
    <pageSetUpPr fitToPage="1"/>
  </sheetPr>
  <dimension ref="A1:T29"/>
  <sheetViews>
    <sheetView showGridLines="0" showRowColHeaders="0" showOutlineSymbols="0" workbookViewId="0" topLeftCell="A1">
      <selection activeCell="L10" sqref="L10:M10"/>
    </sheetView>
  </sheetViews>
  <sheetFormatPr defaultColWidth="9.140625" defaultRowHeight="12.75"/>
  <cols>
    <col min="1" max="1" width="2.7109375" style="12" customWidth="1"/>
    <col min="2" max="2" width="14.28125" style="12" customWidth="1"/>
    <col min="3" max="3" width="3.28125" style="12" customWidth="1"/>
    <col min="4" max="4" width="1.7109375" style="12" customWidth="1"/>
    <col min="5" max="5" width="3.421875" style="12" customWidth="1"/>
    <col min="6" max="6" width="14.28125" style="12" customWidth="1"/>
    <col min="7" max="7" width="14.7109375" style="12" customWidth="1"/>
    <col min="8" max="12" width="3.7109375" style="12" customWidth="1"/>
    <col min="13" max="14" width="3.8515625" style="12" customWidth="1"/>
    <col min="15" max="15" width="4.7109375" style="12" customWidth="1"/>
    <col min="16" max="16" width="5.7109375" style="12" customWidth="1"/>
    <col min="17" max="18" width="7.7109375" style="12" customWidth="1"/>
    <col min="19" max="19" width="5.7109375" style="12" customWidth="1"/>
    <col min="20" max="20" width="7.7109375" style="12" customWidth="1"/>
    <col min="21" max="16384" width="11.421875" style="12" customWidth="1"/>
  </cols>
  <sheetData>
    <row r="1" spans="1:20" s="14" customFormat="1" ht="34.5" customHeight="1">
      <c r="A1" s="205" t="s">
        <v>66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13"/>
    </row>
    <row r="2" spans="1:20" s="14" customFormat="1" ht="34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5"/>
    </row>
    <row r="3" spans="7:18" ht="21" customHeight="1">
      <c r="G3" s="16"/>
      <c r="L3" s="17"/>
      <c r="M3" s="18"/>
      <c r="R3" s="16"/>
    </row>
    <row r="4" spans="2:19" ht="12.75" customHeight="1">
      <c r="B4" s="206" t="s">
        <v>78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P4" s="208" t="s">
        <v>67</v>
      </c>
      <c r="Q4" s="208"/>
      <c r="R4" s="208"/>
      <c r="S4" s="208"/>
    </row>
    <row r="5" spans="2:19" ht="12.75" customHeight="1">
      <c r="B5" s="19"/>
      <c r="C5" s="19"/>
      <c r="D5" s="19"/>
      <c r="E5" s="19"/>
      <c r="F5" s="19"/>
      <c r="G5" s="175" t="s">
        <v>123</v>
      </c>
      <c r="H5" s="209" t="s">
        <v>124</v>
      </c>
      <c r="I5" s="209"/>
      <c r="J5" s="210" t="s">
        <v>193</v>
      </c>
      <c r="K5" s="210"/>
      <c r="L5" s="210" t="s">
        <v>125</v>
      </c>
      <c r="M5" s="210"/>
      <c r="P5" s="208"/>
      <c r="Q5" s="208"/>
      <c r="R5" s="208"/>
      <c r="S5" s="208"/>
    </row>
    <row r="6" spans="1:18" ht="14.25" customHeight="1">
      <c r="A6" s="20">
        <f aca="true" t="shared" si="0" ref="A6:A11">IF(OR(L6="finalizado",L6="en juego",L6="hoy!"),"Ø","")</f>
      </c>
      <c r="B6" s="21" t="str">
        <f>Q7</f>
        <v>독일</v>
      </c>
      <c r="C6" s="22"/>
      <c r="D6" s="23" t="s">
        <v>3</v>
      </c>
      <c r="E6" s="22"/>
      <c r="F6" s="24" t="str">
        <f>Q9</f>
        <v>코스타리카</v>
      </c>
      <c r="G6" s="25" t="s">
        <v>178</v>
      </c>
      <c r="H6" s="211">
        <v>38878</v>
      </c>
      <c r="I6" s="211"/>
      <c r="J6" s="212">
        <v>0.041666666666666664</v>
      </c>
      <c r="K6" s="212"/>
      <c r="L6" s="213">
        <f aca="true" t="shared" si="1" ref="L6:L11">IF(OR(H6="",J6="",H6&lt;$Q$24),"",IF(H6=$Q$24,IF(AND(J6&lt;=$R$26,$R$26&lt;=(J6+0.08333333333)),"진행중",IF($R$26&lt;J6,"오늘!","종료")),IF($Q$24&gt;H6,"종료","")))</f>
      </c>
      <c r="M6" s="213"/>
      <c r="R6" s="16"/>
    </row>
    <row r="7" spans="1:19" ht="14.25" customHeight="1">
      <c r="A7" s="20">
        <f t="shared" si="0"/>
      </c>
      <c r="B7" s="21" t="str">
        <f>Q11</f>
        <v>폴란드</v>
      </c>
      <c r="C7" s="22"/>
      <c r="D7" s="23" t="s">
        <v>3</v>
      </c>
      <c r="E7" s="22"/>
      <c r="F7" s="24" t="str">
        <f>Q13</f>
        <v>에콰도르</v>
      </c>
      <c r="G7" s="25" t="s">
        <v>179</v>
      </c>
      <c r="H7" s="211">
        <v>38878</v>
      </c>
      <c r="I7" s="211"/>
      <c r="J7" s="212">
        <v>0.16666666666666666</v>
      </c>
      <c r="K7" s="212"/>
      <c r="L7" s="213">
        <f t="shared" si="1"/>
      </c>
      <c r="M7" s="213"/>
      <c r="N7" s="26"/>
      <c r="O7" s="27"/>
      <c r="P7" s="28"/>
      <c r="Q7" s="214" t="s">
        <v>88</v>
      </c>
      <c r="R7" s="215"/>
      <c r="S7" s="28"/>
    </row>
    <row r="8" spans="1:19" ht="14.25" customHeight="1">
      <c r="A8" s="20">
        <f t="shared" si="0"/>
      </c>
      <c r="B8" s="21" t="str">
        <f>Q7</f>
        <v>독일</v>
      </c>
      <c r="C8" s="22"/>
      <c r="D8" s="23" t="s">
        <v>3</v>
      </c>
      <c r="E8" s="22"/>
      <c r="F8" s="24" t="str">
        <f>Q11</f>
        <v>폴란드</v>
      </c>
      <c r="G8" s="25" t="s">
        <v>180</v>
      </c>
      <c r="H8" s="211">
        <v>38883</v>
      </c>
      <c r="I8" s="211"/>
      <c r="J8" s="212">
        <v>0.16666666666666666</v>
      </c>
      <c r="K8" s="212"/>
      <c r="L8" s="213">
        <f t="shared" si="1"/>
      </c>
      <c r="M8" s="213"/>
      <c r="N8" s="29"/>
      <c r="O8" s="30"/>
      <c r="P8" s="31"/>
      <c r="Q8" s="32"/>
      <c r="R8" s="33"/>
      <c r="S8" s="31"/>
    </row>
    <row r="9" spans="1:19" ht="14.25" customHeight="1">
      <c r="A9" s="20">
        <f t="shared" si="0"/>
      </c>
      <c r="B9" s="21" t="str">
        <f>Q13</f>
        <v>에콰도르</v>
      </c>
      <c r="C9" s="22"/>
      <c r="D9" s="23" t="s">
        <v>3</v>
      </c>
      <c r="E9" s="22"/>
      <c r="F9" s="24" t="str">
        <f>Q9</f>
        <v>코스타리카</v>
      </c>
      <c r="G9" s="25" t="s">
        <v>181</v>
      </c>
      <c r="H9" s="211">
        <v>38883</v>
      </c>
      <c r="I9" s="211"/>
      <c r="J9" s="212">
        <v>0.9166666666666666</v>
      </c>
      <c r="K9" s="212"/>
      <c r="L9" s="213">
        <f t="shared" si="1"/>
      </c>
      <c r="M9" s="213"/>
      <c r="P9" s="28"/>
      <c r="Q9" s="214" t="s">
        <v>89</v>
      </c>
      <c r="R9" s="215"/>
      <c r="S9" s="28"/>
    </row>
    <row r="10" spans="1:19" ht="14.25" customHeight="1">
      <c r="A10" s="20">
        <f t="shared" si="0"/>
      </c>
      <c r="B10" s="21" t="str">
        <f>Q13</f>
        <v>에콰도르</v>
      </c>
      <c r="C10" s="22"/>
      <c r="D10" s="23" t="s">
        <v>3</v>
      </c>
      <c r="E10" s="22"/>
      <c r="F10" s="24" t="str">
        <f>Q7</f>
        <v>독일</v>
      </c>
      <c r="G10" s="25" t="s">
        <v>7</v>
      </c>
      <c r="H10" s="211">
        <v>38888</v>
      </c>
      <c r="I10" s="211"/>
      <c r="J10" s="212">
        <v>0.9583333333333334</v>
      </c>
      <c r="K10" s="212"/>
      <c r="L10" s="213">
        <f t="shared" si="1"/>
      </c>
      <c r="M10" s="213"/>
      <c r="P10" s="31"/>
      <c r="Q10" s="32"/>
      <c r="R10" s="33"/>
      <c r="S10" s="31"/>
    </row>
    <row r="11" spans="1:19" ht="14.25" customHeight="1">
      <c r="A11" s="20">
        <f t="shared" si="0"/>
      </c>
      <c r="B11" s="21" t="str">
        <f>Q9</f>
        <v>코스타리카</v>
      </c>
      <c r="C11" s="22"/>
      <c r="D11" s="23" t="s">
        <v>3</v>
      </c>
      <c r="E11" s="22"/>
      <c r="F11" s="24" t="str">
        <f>Q11</f>
        <v>폴란드</v>
      </c>
      <c r="G11" s="25" t="s">
        <v>182</v>
      </c>
      <c r="H11" s="211">
        <v>38888</v>
      </c>
      <c r="I11" s="211"/>
      <c r="J11" s="212">
        <v>0.9583333333333334</v>
      </c>
      <c r="K11" s="212"/>
      <c r="L11" s="213">
        <f t="shared" si="1"/>
      </c>
      <c r="M11" s="213"/>
      <c r="P11" s="28"/>
      <c r="Q11" s="214" t="s">
        <v>90</v>
      </c>
      <c r="R11" s="215"/>
      <c r="S11" s="28"/>
    </row>
    <row r="12" spans="2:19" ht="13.5" customHeight="1">
      <c r="B12" s="34"/>
      <c r="C12" s="35"/>
      <c r="D12" s="36"/>
      <c r="E12" s="35"/>
      <c r="F12" s="19"/>
      <c r="G12" s="37"/>
      <c r="H12" s="36"/>
      <c r="I12" s="38"/>
      <c r="J12" s="17"/>
      <c r="K12" s="39"/>
      <c r="L12" s="40"/>
      <c r="M12" s="40"/>
      <c r="P12" s="31"/>
      <c r="Q12" s="32"/>
      <c r="R12" s="33"/>
      <c r="S12" s="31"/>
    </row>
    <row r="13" spans="2:19" ht="13.5" customHeight="1">
      <c r="B13" s="34"/>
      <c r="C13" s="35"/>
      <c r="D13" s="36"/>
      <c r="E13" s="35"/>
      <c r="F13" s="19"/>
      <c r="G13" s="37"/>
      <c r="H13" s="36"/>
      <c r="I13" s="36"/>
      <c r="J13" s="17"/>
      <c r="K13" s="41"/>
      <c r="L13" s="40"/>
      <c r="M13" s="40"/>
      <c r="P13" s="28"/>
      <c r="Q13" s="214" t="s">
        <v>91</v>
      </c>
      <c r="R13" s="215"/>
      <c r="S13" s="28"/>
    </row>
    <row r="14" spans="2:18" ht="13.5" customHeight="1">
      <c r="B14" s="34"/>
      <c r="C14" s="35"/>
      <c r="D14" s="36"/>
      <c r="E14" s="35"/>
      <c r="F14" s="19"/>
      <c r="G14" s="37"/>
      <c r="H14" s="36"/>
      <c r="I14" s="36"/>
      <c r="J14" s="42"/>
      <c r="K14" s="17"/>
      <c r="L14" s="40"/>
      <c r="M14" s="40"/>
      <c r="Q14" s="43"/>
      <c r="R14" s="44"/>
    </row>
    <row r="15" spans="7:18" ht="12.75">
      <c r="G15" s="206" t="s">
        <v>79</v>
      </c>
      <c r="H15" s="207"/>
      <c r="I15" s="207"/>
      <c r="J15" s="207"/>
      <c r="K15" s="207"/>
      <c r="L15" s="207"/>
      <c r="M15" s="207"/>
      <c r="N15" s="207"/>
      <c r="O15" s="207"/>
      <c r="R15" s="16"/>
    </row>
    <row r="16" spans="7:18" ht="12.75">
      <c r="G16" s="45"/>
      <c r="H16" s="167" t="s">
        <v>87</v>
      </c>
      <c r="I16" s="167" t="s">
        <v>80</v>
      </c>
      <c r="J16" s="167" t="s">
        <v>81</v>
      </c>
      <c r="K16" s="167" t="s">
        <v>82</v>
      </c>
      <c r="L16" s="167" t="s">
        <v>83</v>
      </c>
      <c r="M16" s="167" t="s">
        <v>84</v>
      </c>
      <c r="N16" s="167" t="s">
        <v>85</v>
      </c>
      <c r="O16" s="167" t="s">
        <v>86</v>
      </c>
      <c r="R16" s="16"/>
    </row>
    <row r="17" spans="6:19" ht="12.75">
      <c r="F17" s="46" t="s">
        <v>186</v>
      </c>
      <c r="G17" s="47" t="str">
        <f>calculoA!F52</f>
        <v>독일</v>
      </c>
      <c r="H17" s="21">
        <f>calculoA!G52</f>
        <v>0</v>
      </c>
      <c r="I17" s="24">
        <f>calculoA!H52</f>
        <v>0</v>
      </c>
      <c r="J17" s="24">
        <f>calculoA!I52</f>
        <v>0</v>
      </c>
      <c r="K17" s="24">
        <f>calculoA!J52</f>
        <v>0</v>
      </c>
      <c r="L17" s="24">
        <f>calculoA!K52</f>
        <v>0</v>
      </c>
      <c r="M17" s="24">
        <f>calculoA!L52</f>
        <v>0</v>
      </c>
      <c r="N17" s="24">
        <f>L17-M17</f>
        <v>0</v>
      </c>
      <c r="O17" s="24">
        <f>calculoA!M52</f>
        <v>0</v>
      </c>
      <c r="P17" s="48"/>
      <c r="Q17" s="49"/>
      <c r="R17" s="50"/>
      <c r="S17" s="49"/>
    </row>
    <row r="18" spans="6:19" ht="12.75">
      <c r="F18" s="46" t="s">
        <v>186</v>
      </c>
      <c r="G18" s="47" t="str">
        <f>calculoA!F53</f>
        <v>코스타리카</v>
      </c>
      <c r="H18" s="24">
        <f>calculoA!G53</f>
        <v>0</v>
      </c>
      <c r="I18" s="24">
        <f>calculoA!H53</f>
        <v>0</v>
      </c>
      <c r="J18" s="24">
        <f>calculoA!I53</f>
        <v>0</v>
      </c>
      <c r="K18" s="24">
        <f>calculoA!J53</f>
        <v>0</v>
      </c>
      <c r="L18" s="24">
        <f>calculoA!K53</f>
        <v>0</v>
      </c>
      <c r="M18" s="24">
        <f>calculoA!L53</f>
        <v>0</v>
      </c>
      <c r="N18" s="24">
        <f>L18-M18</f>
        <v>0</v>
      </c>
      <c r="O18" s="24">
        <f>calculoA!M53</f>
        <v>0</v>
      </c>
      <c r="P18" s="48"/>
      <c r="Q18" s="49"/>
      <c r="R18" s="50"/>
      <c r="S18" s="49"/>
    </row>
    <row r="19" spans="6:19" ht="12.75">
      <c r="F19" s="49"/>
      <c r="G19" s="47" t="str">
        <f>calculoA!F54</f>
        <v>폴란드</v>
      </c>
      <c r="H19" s="24">
        <f>calculoA!G54</f>
        <v>0</v>
      </c>
      <c r="I19" s="24">
        <f>calculoA!H54</f>
        <v>0</v>
      </c>
      <c r="J19" s="24">
        <f>calculoA!I54</f>
        <v>0</v>
      </c>
      <c r="K19" s="24">
        <f>calculoA!J54</f>
        <v>0</v>
      </c>
      <c r="L19" s="24">
        <f>calculoA!K54</f>
        <v>0</v>
      </c>
      <c r="M19" s="24">
        <f>calculoA!L54</f>
        <v>0</v>
      </c>
      <c r="N19" s="24">
        <f>L19-M19</f>
        <v>0</v>
      </c>
      <c r="O19" s="24">
        <f>calculoA!M54</f>
        <v>0</v>
      </c>
      <c r="P19" s="51"/>
      <c r="Q19" s="49"/>
      <c r="R19" s="50"/>
      <c r="S19" s="49"/>
    </row>
    <row r="20" spans="6:19" ht="12.75">
      <c r="F20" s="49"/>
      <c r="G20" s="47" t="str">
        <f>calculoA!F55</f>
        <v>에콰도르</v>
      </c>
      <c r="H20" s="24">
        <f>calculoA!G55</f>
        <v>0</v>
      </c>
      <c r="I20" s="24">
        <f>calculoA!H55</f>
        <v>0</v>
      </c>
      <c r="J20" s="24">
        <f>calculoA!I55</f>
        <v>0</v>
      </c>
      <c r="K20" s="24">
        <f>calculoA!J55</f>
        <v>0</v>
      </c>
      <c r="L20" s="24">
        <f>calculoA!K55</f>
        <v>0</v>
      </c>
      <c r="M20" s="24">
        <f>calculoA!L55</f>
        <v>0</v>
      </c>
      <c r="N20" s="24">
        <f>L20-M20</f>
        <v>0</v>
      </c>
      <c r="O20" s="24">
        <f>calculoA!M55</f>
        <v>0</v>
      </c>
      <c r="P20" s="51"/>
      <c r="Q20" s="51"/>
      <c r="R20" s="52"/>
      <c r="S20" s="51"/>
    </row>
    <row r="21" spans="14:19" ht="12.75">
      <c r="N21" s="53"/>
      <c r="O21" s="53"/>
      <c r="P21" s="53"/>
      <c r="Q21" s="53"/>
      <c r="R21" s="54"/>
      <c r="S21" s="53"/>
    </row>
    <row r="22" spans="14:19" ht="11.25" customHeight="1">
      <c r="N22" s="53"/>
      <c r="O22" s="53"/>
      <c r="P22" s="53"/>
      <c r="Q22" s="53"/>
      <c r="R22" s="54"/>
      <c r="S22" s="53"/>
    </row>
    <row r="23" spans="14:19" ht="9" customHeight="1">
      <c r="N23" s="53"/>
      <c r="O23" s="53"/>
      <c r="P23" s="53"/>
      <c r="R23" s="55"/>
      <c r="S23" s="53"/>
    </row>
    <row r="24" spans="2:19" ht="12.75">
      <c r="B24" s="56"/>
      <c r="C24" s="57"/>
      <c r="N24" s="58"/>
      <c r="O24" s="58"/>
      <c r="P24" s="171" t="s">
        <v>120</v>
      </c>
      <c r="Q24" s="169">
        <f ca="1">TODAY()</f>
        <v>38864</v>
      </c>
      <c r="R24" s="170">
        <f ca="1">NOW()</f>
        <v>38864.779269907405</v>
      </c>
      <c r="S24" s="59"/>
    </row>
    <row r="25" spans="1:20" ht="12.75" hidden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2">
        <f>HOUR(R24)</f>
        <v>18</v>
      </c>
      <c r="R25" s="62">
        <f>MINUTE(R24)</f>
        <v>42</v>
      </c>
      <c r="S25" s="63"/>
      <c r="T25" s="60"/>
    </row>
    <row r="26" spans="2:20" ht="12.75" hidden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0"/>
      <c r="Q26" s="62"/>
      <c r="R26" s="64">
        <f>TIME(Q25,R25,0)</f>
        <v>0.7791666666666667</v>
      </c>
      <c r="S26" s="63"/>
      <c r="T26" s="60"/>
    </row>
    <row r="27" spans="14:19" ht="12.75">
      <c r="N27" s="53"/>
      <c r="O27" s="53"/>
      <c r="P27" s="53"/>
      <c r="Q27" s="59"/>
      <c r="R27" s="59"/>
      <c r="S27" s="59"/>
    </row>
    <row r="28" spans="14:19" ht="12.75">
      <c r="N28" s="53"/>
      <c r="O28" s="53"/>
      <c r="P28" s="53"/>
      <c r="Q28" s="216" t="s">
        <v>189</v>
      </c>
      <c r="R28" s="216" t="s">
        <v>2</v>
      </c>
      <c r="S28" s="59"/>
    </row>
    <row r="29" spans="14:19" ht="12.75">
      <c r="N29" s="53"/>
      <c r="O29" s="53"/>
      <c r="P29" s="53"/>
      <c r="Q29" s="59"/>
      <c r="R29" s="59"/>
      <c r="S29" s="59"/>
    </row>
  </sheetData>
  <sheetProtection password="F52A" sheet="1" objects="1" scenarios="1"/>
  <mergeCells count="30">
    <mergeCell ref="Q11:R11"/>
    <mergeCell ref="Q13:R13"/>
    <mergeCell ref="G15:O15"/>
    <mergeCell ref="Q28:R28"/>
    <mergeCell ref="H10:I10"/>
    <mergeCell ref="J10:K10"/>
    <mergeCell ref="L10:M10"/>
    <mergeCell ref="H11:I11"/>
    <mergeCell ref="J11:K11"/>
    <mergeCell ref="L11:M11"/>
    <mergeCell ref="H9:I9"/>
    <mergeCell ref="J9:K9"/>
    <mergeCell ref="L9:M9"/>
    <mergeCell ref="Q9:R9"/>
    <mergeCell ref="Q7:R7"/>
    <mergeCell ref="H8:I8"/>
    <mergeCell ref="J8:K8"/>
    <mergeCell ref="L8:M8"/>
    <mergeCell ref="H6:I6"/>
    <mergeCell ref="J6:K6"/>
    <mergeCell ref="L6:M6"/>
    <mergeCell ref="H7:I7"/>
    <mergeCell ref="J7:K7"/>
    <mergeCell ref="L7:M7"/>
    <mergeCell ref="A1:S2"/>
    <mergeCell ref="B4:M4"/>
    <mergeCell ref="P4:S5"/>
    <mergeCell ref="H5:I5"/>
    <mergeCell ref="J5:K5"/>
    <mergeCell ref="L5:M5"/>
  </mergeCells>
  <conditionalFormatting sqref="F17:F18">
    <cfRule type="expression" priority="1" dxfId="0" stopIfTrue="1">
      <formula>IF(AND($H$17=3,$H$18=3,$H$19=3,$H$20=3),1,0)</formula>
    </cfRule>
  </conditionalFormatting>
  <conditionalFormatting sqref="G17:O18">
    <cfRule type="expression" priority="2" dxfId="1" stopIfTrue="1">
      <formula>IF(AND($H$17=3,$H$18=3,$H$19=3,$H$20=3),1,0)</formula>
    </cfRule>
  </conditionalFormatting>
  <conditionalFormatting sqref="B7:G7 J7:K7">
    <cfRule type="expression" priority="3" dxfId="1" stopIfTrue="1">
      <formula>IF(OR($L$7="en juego",$L$7="hoy!"),1,0)</formula>
    </cfRule>
  </conditionalFormatting>
  <conditionalFormatting sqref="L6:M11 B6:K6 H7:I11">
    <cfRule type="expression" priority="4" dxfId="1" stopIfTrue="1">
      <formula>IF(OR($L$6="en juego",$L$6="hoy!"),1,0)</formula>
    </cfRule>
  </conditionalFormatting>
  <conditionalFormatting sqref="B8:G8 J8:K8">
    <cfRule type="expression" priority="5" dxfId="1" stopIfTrue="1">
      <formula>IF(OR($L$8="en juego",$L$8="hoy!"),1,0)</formula>
    </cfRule>
  </conditionalFormatting>
  <conditionalFormatting sqref="B9:G9 J9:K9">
    <cfRule type="expression" priority="6" dxfId="1" stopIfTrue="1">
      <formula>IF(OR($L$9="en juego",$L$9="hoy!"),1,0)</formula>
    </cfRule>
  </conditionalFormatting>
  <conditionalFormatting sqref="B10:G10 J10:K11">
    <cfRule type="expression" priority="7" dxfId="1" stopIfTrue="1">
      <formula>IF(OR($L$10="en juego",$L$10="hoy!"),1,0)</formula>
    </cfRule>
  </conditionalFormatting>
  <conditionalFormatting sqref="B11:G11">
    <cfRule type="expression" priority="8" dxfId="1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" location="Portada!A1" display="Menu Principal"/>
    <hyperlink ref="R28" location="Portada!A1" display="#Portada.A1"/>
    <hyperlink ref="Q28:R28" location="Menu!A1" display="Menu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indexed="17"/>
    <pageSetUpPr fitToPage="1"/>
  </sheetPr>
  <dimension ref="A1:T29"/>
  <sheetViews>
    <sheetView showGridLines="0" showRowColHeaders="0" showOutlineSymbols="0" workbookViewId="0" topLeftCell="A1">
      <selection activeCell="Y47" sqref="Y47"/>
    </sheetView>
  </sheetViews>
  <sheetFormatPr defaultColWidth="9.140625" defaultRowHeight="12.75"/>
  <cols>
    <col min="1" max="1" width="2.7109375" style="12" customWidth="1"/>
    <col min="2" max="2" width="15.57421875" style="12" customWidth="1"/>
    <col min="3" max="3" width="3.28125" style="12" customWidth="1"/>
    <col min="4" max="4" width="1.7109375" style="12" customWidth="1"/>
    <col min="5" max="5" width="3.421875" style="12" customWidth="1"/>
    <col min="6" max="6" width="18.28125" style="12" customWidth="1"/>
    <col min="7" max="7" width="14.00390625" style="12" customWidth="1"/>
    <col min="8" max="12" width="3.7109375" style="12" customWidth="1"/>
    <col min="13" max="14" width="3.8515625" style="12" customWidth="1"/>
    <col min="15" max="15" width="4.7109375" style="12" customWidth="1"/>
    <col min="16" max="16" width="5.7109375" style="12" customWidth="1"/>
    <col min="17" max="18" width="7.7109375" style="12" customWidth="1"/>
    <col min="19" max="19" width="5.7109375" style="12" customWidth="1"/>
    <col min="20" max="20" width="7.7109375" style="12" customWidth="1"/>
    <col min="21" max="16384" width="11.421875" style="12" customWidth="1"/>
  </cols>
  <sheetData>
    <row r="1" spans="1:20" s="14" customFormat="1" ht="34.5" customHeight="1">
      <c r="A1" s="205" t="s">
        <v>66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13"/>
    </row>
    <row r="2" spans="1:20" s="14" customFormat="1" ht="34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5"/>
    </row>
    <row r="3" spans="7:18" ht="21" customHeight="1">
      <c r="G3" s="16"/>
      <c r="L3" s="17"/>
      <c r="M3" s="18"/>
      <c r="R3" s="16"/>
    </row>
    <row r="4" spans="2:19" ht="12.75">
      <c r="B4" s="206" t="s">
        <v>78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P4" s="217" t="s">
        <v>68</v>
      </c>
      <c r="Q4" s="217"/>
      <c r="R4" s="217"/>
      <c r="S4" s="217"/>
    </row>
    <row r="5" spans="2:19" ht="12.75">
      <c r="B5" s="19"/>
      <c r="C5" s="19"/>
      <c r="D5" s="19"/>
      <c r="E5" s="19"/>
      <c r="F5" s="19"/>
      <c r="G5" s="175" t="s">
        <v>123</v>
      </c>
      <c r="H5" s="209" t="s">
        <v>124</v>
      </c>
      <c r="I5" s="209"/>
      <c r="J5" s="210" t="s">
        <v>193</v>
      </c>
      <c r="K5" s="210"/>
      <c r="L5" s="210" t="s">
        <v>125</v>
      </c>
      <c r="M5" s="210"/>
      <c r="P5" s="217"/>
      <c r="Q5" s="217"/>
      <c r="R5" s="217"/>
      <c r="S5" s="217"/>
    </row>
    <row r="6" spans="1:18" ht="14.25" customHeight="1">
      <c r="A6" s="20">
        <f aca="true" t="shared" si="0" ref="A6:A11">IF(OR(L6="finalizado",L6="en juego",L6="hoy!"),"Ø","")</f>
      </c>
      <c r="B6" s="21" t="str">
        <f>Q7</f>
        <v>잉글랜드</v>
      </c>
      <c r="C6" s="22"/>
      <c r="D6" s="23" t="s">
        <v>3</v>
      </c>
      <c r="E6" s="22"/>
      <c r="F6" s="24" t="str">
        <f>Q9</f>
        <v>파라과이</v>
      </c>
      <c r="G6" s="25" t="s">
        <v>10</v>
      </c>
      <c r="H6" s="211">
        <v>38878</v>
      </c>
      <c r="I6" s="211"/>
      <c r="J6" s="212">
        <v>0.9166666666666666</v>
      </c>
      <c r="K6" s="212"/>
      <c r="L6" s="213">
        <f aca="true" t="shared" si="1" ref="L6:L11">IF(OR(H6="",J6="",H6&lt;$Q$24),"",IF(H6=$Q$24,IF(AND(J6&lt;=$R$26,$R$26&lt;=(J6+0.08333333333)),"진행중",IF($R$26&lt;J6,"오늘!","종료")),IF($Q$24&gt;H6,"종료","")))</f>
      </c>
      <c r="M6" s="213"/>
      <c r="R6" s="16"/>
    </row>
    <row r="7" spans="1:19" ht="14.25" customHeight="1">
      <c r="A7" s="20">
        <f t="shared" si="0"/>
      </c>
      <c r="B7" s="21" t="str">
        <f>Q11</f>
        <v>트리니다드토바고</v>
      </c>
      <c r="C7" s="22"/>
      <c r="D7" s="23" t="s">
        <v>3</v>
      </c>
      <c r="E7" s="22"/>
      <c r="F7" s="24" t="str">
        <f>Q13</f>
        <v>스웨덴</v>
      </c>
      <c r="G7" s="25" t="s">
        <v>6</v>
      </c>
      <c r="H7" s="211">
        <v>38879</v>
      </c>
      <c r="I7" s="211"/>
      <c r="J7" s="212">
        <v>0.041666666666666664</v>
      </c>
      <c r="K7" s="212"/>
      <c r="L7" s="213">
        <f t="shared" si="1"/>
      </c>
      <c r="M7" s="213"/>
      <c r="N7" s="26"/>
      <c r="O7" s="27"/>
      <c r="P7" s="28"/>
      <c r="Q7" s="214" t="s">
        <v>92</v>
      </c>
      <c r="R7" s="215"/>
      <c r="S7" s="28"/>
    </row>
    <row r="8" spans="1:19" ht="14.25" customHeight="1">
      <c r="A8" s="20">
        <f t="shared" si="0"/>
      </c>
      <c r="B8" s="21" t="str">
        <f>Q7</f>
        <v>잉글랜드</v>
      </c>
      <c r="C8" s="22"/>
      <c r="D8" s="23" t="s">
        <v>3</v>
      </c>
      <c r="E8" s="22"/>
      <c r="F8" s="24" t="str">
        <f>Q11</f>
        <v>트리니다드토바고</v>
      </c>
      <c r="G8" s="25" t="s">
        <v>11</v>
      </c>
      <c r="H8" s="211">
        <v>38884</v>
      </c>
      <c r="I8" s="211"/>
      <c r="J8" s="212">
        <v>0.041666666666666664</v>
      </c>
      <c r="K8" s="212"/>
      <c r="L8" s="213">
        <f t="shared" si="1"/>
      </c>
      <c r="M8" s="213"/>
      <c r="N8" s="29"/>
      <c r="O8" s="30"/>
      <c r="P8" s="31"/>
      <c r="Q8" s="32"/>
      <c r="R8" s="33"/>
      <c r="S8" s="31"/>
    </row>
    <row r="9" spans="1:19" ht="14.25" customHeight="1">
      <c r="A9" s="20">
        <f t="shared" si="0"/>
      </c>
      <c r="B9" s="21" t="str">
        <f>Q13</f>
        <v>스웨덴</v>
      </c>
      <c r="C9" s="22"/>
      <c r="D9" s="23" t="s">
        <v>3</v>
      </c>
      <c r="E9" s="22"/>
      <c r="F9" s="24" t="str">
        <f>Q9</f>
        <v>파라과이</v>
      </c>
      <c r="G9" s="25" t="s">
        <v>7</v>
      </c>
      <c r="H9" s="211">
        <v>38884</v>
      </c>
      <c r="I9" s="211"/>
      <c r="J9" s="212">
        <v>0.16666666666666666</v>
      </c>
      <c r="K9" s="212"/>
      <c r="L9" s="213">
        <f t="shared" si="1"/>
      </c>
      <c r="M9" s="213"/>
      <c r="P9" s="28"/>
      <c r="Q9" s="214" t="s">
        <v>93</v>
      </c>
      <c r="R9" s="215"/>
      <c r="S9" s="28"/>
    </row>
    <row r="10" spans="1:19" ht="14.25" customHeight="1">
      <c r="A10" s="20">
        <f t="shared" si="0"/>
      </c>
      <c r="B10" s="21" t="str">
        <f>Q13</f>
        <v>스웨덴</v>
      </c>
      <c r="C10" s="22"/>
      <c r="D10" s="23" t="s">
        <v>3</v>
      </c>
      <c r="E10" s="22"/>
      <c r="F10" s="24" t="str">
        <f>Q7</f>
        <v>잉글랜드</v>
      </c>
      <c r="G10" s="25" t="s">
        <v>183</v>
      </c>
      <c r="H10" s="211">
        <v>38889</v>
      </c>
      <c r="I10" s="211"/>
      <c r="J10" s="212">
        <v>0.16666666666666666</v>
      </c>
      <c r="K10" s="212"/>
      <c r="L10" s="213">
        <f t="shared" si="1"/>
      </c>
      <c r="M10" s="213"/>
      <c r="P10" s="31"/>
      <c r="Q10" s="32"/>
      <c r="R10" s="33"/>
      <c r="S10" s="31"/>
    </row>
    <row r="11" spans="1:19" ht="14.25" customHeight="1">
      <c r="A11" s="20">
        <f t="shared" si="0"/>
      </c>
      <c r="B11" s="21" t="str">
        <f>Q9</f>
        <v>파라과이</v>
      </c>
      <c r="C11" s="22"/>
      <c r="D11" s="23" t="s">
        <v>3</v>
      </c>
      <c r="E11" s="22"/>
      <c r="F11" s="24" t="str">
        <f>Q11</f>
        <v>트리니다드토바고</v>
      </c>
      <c r="G11" s="25" t="s">
        <v>184</v>
      </c>
      <c r="H11" s="211">
        <v>38889</v>
      </c>
      <c r="I11" s="211"/>
      <c r="J11" s="212">
        <v>0.16666666666666666</v>
      </c>
      <c r="K11" s="212"/>
      <c r="L11" s="213">
        <f t="shared" si="1"/>
      </c>
      <c r="M11" s="213"/>
      <c r="P11" s="28"/>
      <c r="Q11" s="214" t="s">
        <v>94</v>
      </c>
      <c r="R11" s="215"/>
      <c r="S11" s="28"/>
    </row>
    <row r="12" spans="2:19" ht="13.5" customHeight="1">
      <c r="B12" s="34"/>
      <c r="C12" s="35"/>
      <c r="D12" s="36"/>
      <c r="E12" s="35"/>
      <c r="F12" s="19"/>
      <c r="G12" s="37"/>
      <c r="H12" s="36"/>
      <c r="I12" s="38"/>
      <c r="J12" s="17"/>
      <c r="K12" s="39"/>
      <c r="L12" s="40"/>
      <c r="M12" s="40"/>
      <c r="P12" s="31"/>
      <c r="Q12" s="32"/>
      <c r="R12" s="33"/>
      <c r="S12" s="31"/>
    </row>
    <row r="13" spans="2:19" ht="13.5" customHeight="1">
      <c r="B13" s="34"/>
      <c r="C13" s="35"/>
      <c r="D13" s="36"/>
      <c r="E13" s="35"/>
      <c r="F13" s="19"/>
      <c r="G13" s="37"/>
      <c r="H13" s="36"/>
      <c r="I13" s="36"/>
      <c r="J13" s="17"/>
      <c r="K13" s="41"/>
      <c r="L13" s="40"/>
      <c r="M13" s="40"/>
      <c r="P13" s="28"/>
      <c r="Q13" s="214" t="s">
        <v>95</v>
      </c>
      <c r="R13" s="215"/>
      <c r="S13" s="28"/>
    </row>
    <row r="14" spans="2:18" ht="13.5" customHeight="1">
      <c r="B14" s="34"/>
      <c r="C14" s="35"/>
      <c r="D14" s="36"/>
      <c r="E14" s="35"/>
      <c r="F14" s="19"/>
      <c r="G14" s="37"/>
      <c r="H14" s="36"/>
      <c r="I14" s="36"/>
      <c r="J14" s="17"/>
      <c r="K14" s="41"/>
      <c r="L14" s="40"/>
      <c r="M14" s="40"/>
      <c r="Q14" s="43"/>
      <c r="R14" s="65"/>
    </row>
    <row r="15" spans="7:18" ht="12.75">
      <c r="G15" s="206" t="s">
        <v>79</v>
      </c>
      <c r="H15" s="207"/>
      <c r="I15" s="207"/>
      <c r="J15" s="207"/>
      <c r="K15" s="207"/>
      <c r="L15" s="207"/>
      <c r="M15" s="207"/>
      <c r="N15" s="207"/>
      <c r="O15" s="207"/>
      <c r="R15" s="16"/>
    </row>
    <row r="16" spans="7:18" ht="12.75">
      <c r="G16" s="45"/>
      <c r="H16" s="167" t="s">
        <v>87</v>
      </c>
      <c r="I16" s="167" t="s">
        <v>80</v>
      </c>
      <c r="J16" s="167" t="s">
        <v>81</v>
      </c>
      <c r="K16" s="167" t="s">
        <v>82</v>
      </c>
      <c r="L16" s="167" t="s">
        <v>83</v>
      </c>
      <c r="M16" s="167" t="s">
        <v>84</v>
      </c>
      <c r="N16" s="167" t="s">
        <v>85</v>
      </c>
      <c r="O16" s="167" t="s">
        <v>86</v>
      </c>
      <c r="R16" s="16"/>
    </row>
    <row r="17" spans="6:19" ht="12.75">
      <c r="F17" s="46" t="s">
        <v>186</v>
      </c>
      <c r="G17" s="47" t="str">
        <f>calculoB!F52</f>
        <v>잉글랜드</v>
      </c>
      <c r="H17" s="24">
        <f>calculoB!G52</f>
        <v>0</v>
      </c>
      <c r="I17" s="24">
        <f>calculoB!H52</f>
        <v>0</v>
      </c>
      <c r="J17" s="24">
        <f>calculoB!I52</f>
        <v>0</v>
      </c>
      <c r="K17" s="24">
        <f>calculoB!J52</f>
        <v>0</v>
      </c>
      <c r="L17" s="24">
        <f>calculoB!K52</f>
        <v>0</v>
      </c>
      <c r="M17" s="24">
        <f>calculoB!L52</f>
        <v>0</v>
      </c>
      <c r="N17" s="24">
        <f>L17-M17</f>
        <v>0</v>
      </c>
      <c r="O17" s="24">
        <f>calculoB!M52</f>
        <v>0</v>
      </c>
      <c r="P17" s="48"/>
      <c r="Q17" s="49"/>
      <c r="R17" s="50"/>
      <c r="S17" s="49"/>
    </row>
    <row r="18" spans="6:19" ht="12.75">
      <c r="F18" s="46" t="s">
        <v>186</v>
      </c>
      <c r="G18" s="47" t="str">
        <f>calculoB!F53</f>
        <v>파라과이</v>
      </c>
      <c r="H18" s="24">
        <f>calculoB!G53</f>
        <v>0</v>
      </c>
      <c r="I18" s="24">
        <f>calculoB!H53</f>
        <v>0</v>
      </c>
      <c r="J18" s="24">
        <f>calculoB!I53</f>
        <v>0</v>
      </c>
      <c r="K18" s="24">
        <f>calculoB!J53</f>
        <v>0</v>
      </c>
      <c r="L18" s="24">
        <f>calculoB!K53</f>
        <v>0</v>
      </c>
      <c r="M18" s="24">
        <f>calculoB!L53</f>
        <v>0</v>
      </c>
      <c r="N18" s="24">
        <f>L18-M18</f>
        <v>0</v>
      </c>
      <c r="O18" s="24">
        <f>calculoB!M53</f>
        <v>0</v>
      </c>
      <c r="P18" s="48"/>
      <c r="Q18" s="49"/>
      <c r="R18" s="50"/>
      <c r="S18" s="49"/>
    </row>
    <row r="19" spans="6:19" ht="12.75">
      <c r="F19" s="49"/>
      <c r="G19" s="47" t="str">
        <f>calculoB!F54</f>
        <v>트리니다드토바고</v>
      </c>
      <c r="H19" s="24">
        <f>calculoB!G54</f>
        <v>0</v>
      </c>
      <c r="I19" s="24">
        <f>calculoB!H54</f>
        <v>0</v>
      </c>
      <c r="J19" s="24">
        <f>calculoB!I54</f>
        <v>0</v>
      </c>
      <c r="K19" s="24">
        <f>calculoB!J54</f>
        <v>0</v>
      </c>
      <c r="L19" s="24">
        <f>calculoB!K54</f>
        <v>0</v>
      </c>
      <c r="M19" s="24">
        <f>calculoB!L54</f>
        <v>0</v>
      </c>
      <c r="N19" s="24">
        <f>L19-M19</f>
        <v>0</v>
      </c>
      <c r="O19" s="24">
        <f>calculoB!M54</f>
        <v>0</v>
      </c>
      <c r="P19" s="51"/>
      <c r="Q19" s="49"/>
      <c r="R19" s="50"/>
      <c r="S19" s="49"/>
    </row>
    <row r="20" spans="6:19" ht="12.75">
      <c r="F20" s="49"/>
      <c r="G20" s="47" t="str">
        <f>calculoB!F55</f>
        <v>스웨덴</v>
      </c>
      <c r="H20" s="24">
        <f>calculoB!G55</f>
        <v>0</v>
      </c>
      <c r="I20" s="24">
        <f>calculoB!H55</f>
        <v>0</v>
      </c>
      <c r="J20" s="24">
        <f>calculoB!I55</f>
        <v>0</v>
      </c>
      <c r="K20" s="24">
        <f>calculoB!J55</f>
        <v>0</v>
      </c>
      <c r="L20" s="24">
        <f>calculoB!K55</f>
        <v>0</v>
      </c>
      <c r="M20" s="24">
        <f>calculoB!L55</f>
        <v>0</v>
      </c>
      <c r="N20" s="24">
        <f>L20-M20</f>
        <v>0</v>
      </c>
      <c r="O20" s="24">
        <f>calculoB!M55</f>
        <v>0</v>
      </c>
      <c r="P20" s="51"/>
      <c r="Q20" s="51"/>
      <c r="R20" s="52"/>
      <c r="S20" s="51"/>
    </row>
    <row r="21" spans="14:19" ht="12.75">
      <c r="N21" s="53"/>
      <c r="O21" s="53"/>
      <c r="P21" s="53"/>
      <c r="Q21" s="53"/>
      <c r="R21" s="54"/>
      <c r="S21" s="53"/>
    </row>
    <row r="22" spans="14:19" ht="11.25" customHeight="1">
      <c r="N22" s="53"/>
      <c r="O22" s="53"/>
      <c r="P22" s="53"/>
      <c r="Q22" s="53"/>
      <c r="R22" s="54"/>
      <c r="S22" s="53"/>
    </row>
    <row r="23" spans="14:19" ht="9" customHeight="1">
      <c r="N23" s="53"/>
      <c r="O23" s="53"/>
      <c r="P23" s="53"/>
      <c r="R23" s="55"/>
      <c r="S23" s="53"/>
    </row>
    <row r="24" spans="2:19" ht="12.75">
      <c r="B24" s="56"/>
      <c r="C24" s="57"/>
      <c r="N24" s="58"/>
      <c r="O24" s="58"/>
      <c r="P24" s="171" t="s">
        <v>120</v>
      </c>
      <c r="Q24" s="169">
        <f ca="1">TODAY()</f>
        <v>38864</v>
      </c>
      <c r="R24" s="170">
        <f ca="1">NOW()</f>
        <v>38864.779269907405</v>
      </c>
      <c r="S24" s="59"/>
    </row>
    <row r="25" spans="14:20" ht="12.75" hidden="1">
      <c r="N25" s="53"/>
      <c r="O25" s="53"/>
      <c r="P25" s="53"/>
      <c r="Q25" s="66">
        <f>HOUR(R24)</f>
        <v>18</v>
      </c>
      <c r="R25" s="66">
        <f>MINUTE(R24)</f>
        <v>42</v>
      </c>
      <c r="S25" s="59"/>
      <c r="T25" s="60"/>
    </row>
    <row r="26" spans="14:20" ht="12.75" hidden="1">
      <c r="N26" s="53"/>
      <c r="O26" s="53"/>
      <c r="Q26" s="66"/>
      <c r="R26" s="67">
        <f>TIME(Q25,R25,0)</f>
        <v>0.7791666666666667</v>
      </c>
      <c r="S26" s="59"/>
      <c r="T26" s="60"/>
    </row>
    <row r="27" spans="14:19" ht="12.75">
      <c r="N27" s="53"/>
      <c r="O27" s="53"/>
      <c r="P27" s="53"/>
      <c r="Q27" s="59"/>
      <c r="R27" s="59"/>
      <c r="S27" s="59"/>
    </row>
    <row r="28" spans="14:19" ht="12.75">
      <c r="N28" s="53"/>
      <c r="O28" s="53"/>
      <c r="P28" s="53"/>
      <c r="Q28" s="216" t="s">
        <v>177</v>
      </c>
      <c r="R28" s="216" t="s">
        <v>2</v>
      </c>
      <c r="S28" s="59"/>
    </row>
    <row r="29" spans="14:19" ht="12.75">
      <c r="N29" s="53"/>
      <c r="O29" s="53"/>
      <c r="P29" s="53"/>
      <c r="Q29" s="59"/>
      <c r="R29" s="59"/>
      <c r="S29" s="59"/>
    </row>
  </sheetData>
  <sheetProtection password="F52A" sheet="1" objects="1" scenarios="1"/>
  <mergeCells count="30">
    <mergeCell ref="Q11:R11"/>
    <mergeCell ref="Q13:R13"/>
    <mergeCell ref="G15:O15"/>
    <mergeCell ref="Q28:R28"/>
    <mergeCell ref="H10:I10"/>
    <mergeCell ref="J10:K10"/>
    <mergeCell ref="L10:M10"/>
    <mergeCell ref="H11:I11"/>
    <mergeCell ref="J11:K11"/>
    <mergeCell ref="L11:M11"/>
    <mergeCell ref="H9:I9"/>
    <mergeCell ref="J9:K9"/>
    <mergeCell ref="L9:M9"/>
    <mergeCell ref="Q9:R9"/>
    <mergeCell ref="Q7:R7"/>
    <mergeCell ref="H8:I8"/>
    <mergeCell ref="J8:K8"/>
    <mergeCell ref="L8:M8"/>
    <mergeCell ref="H6:I6"/>
    <mergeCell ref="J6:K6"/>
    <mergeCell ref="L6:M6"/>
    <mergeCell ref="H7:I7"/>
    <mergeCell ref="J7:K7"/>
    <mergeCell ref="L7:M7"/>
    <mergeCell ref="A1:S2"/>
    <mergeCell ref="B4:M4"/>
    <mergeCell ref="P4:S5"/>
    <mergeCell ref="H5:I5"/>
    <mergeCell ref="J5:K5"/>
    <mergeCell ref="L5:M5"/>
  </mergeCells>
  <conditionalFormatting sqref="F17:F18">
    <cfRule type="expression" priority="1" dxfId="0" stopIfTrue="1">
      <formula>IF(AND($H$17=3,$H$18=3,$H$19=3,$H$20=3),1,0)</formula>
    </cfRule>
  </conditionalFormatting>
  <conditionalFormatting sqref="G17:O18">
    <cfRule type="expression" priority="2" dxfId="1" stopIfTrue="1">
      <formula>IF(AND($H$17=3,$H$18=3,$H$19=3,$H$20=3),1,0)</formula>
    </cfRule>
  </conditionalFormatting>
  <conditionalFormatting sqref="B7:G7 J7:K7">
    <cfRule type="expression" priority="3" dxfId="1" stopIfTrue="1">
      <formula>IF(OR($L$7="en juego",$L$7="hoy!"),1,0)</formula>
    </cfRule>
  </conditionalFormatting>
  <conditionalFormatting sqref="L6:M11 B6:G6 H6:I7 J6:K6">
    <cfRule type="expression" priority="4" dxfId="1" stopIfTrue="1">
      <formula>IF(OR($L$6="en juego",$L$6="hoy!"),1,0)</formula>
    </cfRule>
  </conditionalFormatting>
  <conditionalFormatting sqref="B8:G8 H8:I9 J8:K8">
    <cfRule type="expression" priority="5" dxfId="1" stopIfTrue="1">
      <formula>IF(OR($L$8="en juego",$L$8="hoy!"),1,0)</formula>
    </cfRule>
  </conditionalFormatting>
  <conditionalFormatting sqref="B9:G9 J9:K9">
    <cfRule type="expression" priority="6" dxfId="1" stopIfTrue="1">
      <formula>IF(OR($L$9="en juego",$L$9="hoy!"),1,0)</formula>
    </cfRule>
  </conditionalFormatting>
  <conditionalFormatting sqref="B10:G10 H10:I11 J10:K10">
    <cfRule type="expression" priority="7" dxfId="1" stopIfTrue="1">
      <formula>IF(OR($L$10="en juego",$L$10="hoy!"),1,0)</formula>
    </cfRule>
  </conditionalFormatting>
  <conditionalFormatting sqref="B11:G11 J11:K11">
    <cfRule type="expression" priority="8" dxfId="1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" location="Portada!A1" display="Menu Principal"/>
    <hyperlink ref="R28" location="Portada!A1" display="#Portada.A1"/>
    <hyperlink ref="Q28:R28" location="Menu!A1" display="Menu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tabColor indexed="17"/>
    <pageSetUpPr fitToPage="1"/>
  </sheetPr>
  <dimension ref="A1:T29"/>
  <sheetViews>
    <sheetView showGridLines="0" showRowColHeaders="0" showOutlineSymbols="0" workbookViewId="0" topLeftCell="A1">
      <selection activeCell="A1" sqref="A1:S2"/>
    </sheetView>
  </sheetViews>
  <sheetFormatPr defaultColWidth="9.140625" defaultRowHeight="12.75"/>
  <cols>
    <col min="1" max="1" width="2.7109375" style="12" customWidth="1"/>
    <col min="2" max="2" width="18.28125" style="12" customWidth="1"/>
    <col min="3" max="3" width="3.28125" style="12" customWidth="1"/>
    <col min="4" max="4" width="1.7109375" style="12" customWidth="1"/>
    <col min="5" max="5" width="3.421875" style="12" customWidth="1"/>
    <col min="6" max="6" width="18.28125" style="12" customWidth="1"/>
    <col min="7" max="7" width="14.7109375" style="12" customWidth="1"/>
    <col min="8" max="12" width="3.7109375" style="12" customWidth="1"/>
    <col min="13" max="14" width="3.8515625" style="12" customWidth="1"/>
    <col min="15" max="15" width="4.7109375" style="12" customWidth="1"/>
    <col min="16" max="16" width="5.7109375" style="12" customWidth="1"/>
    <col min="17" max="18" width="8.7109375" style="12" customWidth="1"/>
    <col min="19" max="19" width="5.7109375" style="12" customWidth="1"/>
    <col min="20" max="20" width="7.7109375" style="12" customWidth="1"/>
    <col min="21" max="16384" width="11.421875" style="12" customWidth="1"/>
  </cols>
  <sheetData>
    <row r="1" spans="1:20" s="14" customFormat="1" ht="34.5" customHeight="1">
      <c r="A1" s="205" t="s">
        <v>66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13"/>
    </row>
    <row r="2" spans="1:20" s="14" customFormat="1" ht="34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5"/>
    </row>
    <row r="3" spans="7:18" ht="21" customHeight="1">
      <c r="G3" s="16"/>
      <c r="L3" s="17"/>
      <c r="M3" s="18"/>
      <c r="R3" s="16"/>
    </row>
    <row r="4" spans="2:19" ht="12.75" customHeight="1">
      <c r="B4" s="206" t="s">
        <v>78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P4" s="217" t="s">
        <v>69</v>
      </c>
      <c r="Q4" s="217"/>
      <c r="R4" s="217"/>
      <c r="S4" s="217"/>
    </row>
    <row r="5" spans="2:19" ht="12.75" customHeight="1">
      <c r="B5" s="19"/>
      <c r="C5" s="19"/>
      <c r="D5" s="19"/>
      <c r="E5" s="19"/>
      <c r="F5" s="19"/>
      <c r="G5" s="175" t="s">
        <v>123</v>
      </c>
      <c r="H5" s="209" t="s">
        <v>124</v>
      </c>
      <c r="I5" s="209"/>
      <c r="J5" s="210" t="s">
        <v>193</v>
      </c>
      <c r="K5" s="210"/>
      <c r="L5" s="210" t="s">
        <v>125</v>
      </c>
      <c r="M5" s="210"/>
      <c r="P5" s="217"/>
      <c r="Q5" s="217"/>
      <c r="R5" s="217"/>
      <c r="S5" s="217"/>
    </row>
    <row r="6" spans="1:18" ht="14.25" customHeight="1">
      <c r="A6" s="20">
        <f aca="true" t="shared" si="0" ref="A6:A11">IF(OR(L6="finalizado",L6="en juego",L6="hoy!"),"Ø","")</f>
      </c>
      <c r="B6" s="21" t="str">
        <f>Q7</f>
        <v>아르헨티나</v>
      </c>
      <c r="C6" s="22"/>
      <c r="D6" s="23" t="s">
        <v>3</v>
      </c>
      <c r="E6" s="22"/>
      <c r="F6" s="24" t="str">
        <f>Q9</f>
        <v>코티드브아르</v>
      </c>
      <c r="G6" s="25" t="s">
        <v>181</v>
      </c>
      <c r="H6" s="211">
        <v>38879</v>
      </c>
      <c r="I6" s="211"/>
      <c r="J6" s="212">
        <v>0.16666666666666666</v>
      </c>
      <c r="K6" s="212"/>
      <c r="L6" s="213">
        <f aca="true" t="shared" si="1" ref="L6:L11">IF(OR(H6="",J6="",H6&lt;$Q$24),"",IF(H6=$Q$24,IF(AND(J6&lt;=$R$26,$R$26&lt;=(J6+0.08333333333)),"진행중",IF($R$26&lt;J6,"오늘!","종료")),IF($Q$24&gt;H6,"종료","")))</f>
      </c>
      <c r="M6" s="213"/>
      <c r="R6" s="16"/>
    </row>
    <row r="7" spans="1:19" ht="14.25" customHeight="1">
      <c r="A7" s="20">
        <f t="shared" si="0"/>
      </c>
      <c r="B7" s="21" t="str">
        <f>Q11</f>
        <v>세르비아</v>
      </c>
      <c r="C7" s="22"/>
      <c r="D7" s="23" t="s">
        <v>3</v>
      </c>
      <c r="E7" s="22"/>
      <c r="F7" s="24" t="str">
        <f>Q13</f>
        <v>네덜란드</v>
      </c>
      <c r="G7" s="25" t="s">
        <v>12</v>
      </c>
      <c r="H7" s="211">
        <v>38879</v>
      </c>
      <c r="I7" s="211"/>
      <c r="J7" s="212">
        <v>0.9166666666666666</v>
      </c>
      <c r="K7" s="212"/>
      <c r="L7" s="213">
        <f t="shared" si="1"/>
      </c>
      <c r="M7" s="213"/>
      <c r="N7" s="26"/>
      <c r="O7" s="68"/>
      <c r="P7" s="28"/>
      <c r="Q7" s="214" t="s">
        <v>96</v>
      </c>
      <c r="R7" s="215"/>
      <c r="S7" s="28"/>
    </row>
    <row r="8" spans="1:19" ht="14.25" customHeight="1">
      <c r="A8" s="20">
        <f t="shared" si="0"/>
      </c>
      <c r="B8" s="21" t="str">
        <f>Q7</f>
        <v>아르헨티나</v>
      </c>
      <c r="C8" s="22"/>
      <c r="D8" s="23" t="s">
        <v>3</v>
      </c>
      <c r="E8" s="22"/>
      <c r="F8" s="24" t="str">
        <f>Q11</f>
        <v>세르비아</v>
      </c>
      <c r="G8" s="25" t="s">
        <v>5</v>
      </c>
      <c r="H8" s="211">
        <v>38884</v>
      </c>
      <c r="I8" s="211"/>
      <c r="J8" s="212">
        <v>0.9166666666666666</v>
      </c>
      <c r="K8" s="212"/>
      <c r="L8" s="213">
        <f t="shared" si="1"/>
      </c>
      <c r="M8" s="213"/>
      <c r="N8" s="29"/>
      <c r="O8" s="69"/>
      <c r="P8" s="31"/>
      <c r="Q8" s="32"/>
      <c r="R8" s="33"/>
      <c r="S8" s="31"/>
    </row>
    <row r="9" spans="1:19" ht="14.25" customHeight="1">
      <c r="A9" s="20">
        <f t="shared" si="0"/>
      </c>
      <c r="B9" s="21" t="str">
        <f>Q13</f>
        <v>네덜란드</v>
      </c>
      <c r="C9" s="22"/>
      <c r="D9" s="23" t="s">
        <v>3</v>
      </c>
      <c r="E9" s="22"/>
      <c r="F9" s="24" t="str">
        <f>Q9</f>
        <v>코티드브아르</v>
      </c>
      <c r="G9" s="25" t="s">
        <v>13</v>
      </c>
      <c r="H9" s="211">
        <v>38885</v>
      </c>
      <c r="I9" s="211"/>
      <c r="J9" s="212">
        <v>0.041666666666666664</v>
      </c>
      <c r="K9" s="212"/>
      <c r="L9" s="213">
        <f t="shared" si="1"/>
      </c>
      <c r="M9" s="213"/>
      <c r="O9" s="31"/>
      <c r="P9" s="28"/>
      <c r="Q9" s="214" t="s">
        <v>97</v>
      </c>
      <c r="R9" s="215"/>
      <c r="S9" s="28"/>
    </row>
    <row r="10" spans="1:19" ht="14.25" customHeight="1">
      <c r="A10" s="20">
        <f t="shared" si="0"/>
      </c>
      <c r="B10" s="21" t="str">
        <f>Q13</f>
        <v>네덜란드</v>
      </c>
      <c r="C10" s="22"/>
      <c r="D10" s="23" t="s">
        <v>3</v>
      </c>
      <c r="E10" s="22"/>
      <c r="F10" s="24" t="str">
        <f>Q7</f>
        <v>아르헨티나</v>
      </c>
      <c r="G10" s="25" t="s">
        <v>10</v>
      </c>
      <c r="H10" s="211">
        <v>38890</v>
      </c>
      <c r="I10" s="211"/>
      <c r="J10" s="212">
        <v>0.16666666666666666</v>
      </c>
      <c r="K10" s="212"/>
      <c r="L10" s="213">
        <f t="shared" si="1"/>
      </c>
      <c r="M10" s="213"/>
      <c r="O10" s="31"/>
      <c r="P10" s="31"/>
      <c r="Q10" s="32"/>
      <c r="R10" s="33"/>
      <c r="S10" s="31"/>
    </row>
    <row r="11" spans="1:19" ht="14.25" customHeight="1">
      <c r="A11" s="20">
        <f t="shared" si="0"/>
      </c>
      <c r="B11" s="21" t="str">
        <f>Q9</f>
        <v>코티드브아르</v>
      </c>
      <c r="C11" s="22"/>
      <c r="D11" s="23" t="s">
        <v>3</v>
      </c>
      <c r="E11" s="22"/>
      <c r="F11" s="24" t="str">
        <f>Q11</f>
        <v>세르비아</v>
      </c>
      <c r="G11" s="25" t="s">
        <v>4</v>
      </c>
      <c r="H11" s="211">
        <v>38890</v>
      </c>
      <c r="I11" s="211"/>
      <c r="J11" s="212">
        <v>0.16666666666666666</v>
      </c>
      <c r="K11" s="212"/>
      <c r="L11" s="213">
        <f t="shared" si="1"/>
      </c>
      <c r="M11" s="213"/>
      <c r="O11" s="31"/>
      <c r="P11" s="28"/>
      <c r="Q11" s="214" t="s">
        <v>98</v>
      </c>
      <c r="R11" s="215"/>
      <c r="S11" s="28"/>
    </row>
    <row r="12" spans="2:19" ht="13.5" customHeight="1">
      <c r="B12" s="34"/>
      <c r="C12" s="35"/>
      <c r="D12" s="36"/>
      <c r="E12" s="35"/>
      <c r="F12" s="19"/>
      <c r="G12" s="37"/>
      <c r="H12" s="36"/>
      <c r="I12" s="38"/>
      <c r="J12" s="17"/>
      <c r="K12" s="39"/>
      <c r="L12" s="40"/>
      <c r="M12" s="40"/>
      <c r="O12" s="31"/>
      <c r="P12" s="31"/>
      <c r="Q12" s="32"/>
      <c r="R12" s="33"/>
      <c r="S12" s="31"/>
    </row>
    <row r="13" spans="2:19" ht="13.5" customHeight="1">
      <c r="B13" s="34"/>
      <c r="C13" s="35"/>
      <c r="D13" s="36"/>
      <c r="E13" s="35"/>
      <c r="F13" s="19"/>
      <c r="G13" s="37"/>
      <c r="H13" s="36"/>
      <c r="I13" s="36"/>
      <c r="J13" s="17"/>
      <c r="K13" s="41"/>
      <c r="L13" s="40"/>
      <c r="M13" s="40"/>
      <c r="O13" s="31"/>
      <c r="P13" s="28"/>
      <c r="Q13" s="214" t="s">
        <v>158</v>
      </c>
      <c r="R13" s="215"/>
      <c r="S13" s="28"/>
    </row>
    <row r="14" spans="2:18" ht="13.5" customHeight="1">
      <c r="B14" s="34"/>
      <c r="C14" s="35"/>
      <c r="D14" s="36"/>
      <c r="E14" s="35"/>
      <c r="F14" s="19"/>
      <c r="G14" s="37"/>
      <c r="H14" s="36"/>
      <c r="I14" s="36"/>
      <c r="J14" s="17"/>
      <c r="K14" s="41"/>
      <c r="L14" s="40"/>
      <c r="M14" s="40"/>
      <c r="Q14" s="43"/>
      <c r="R14" s="65"/>
    </row>
    <row r="15" spans="7:18" ht="12.75">
      <c r="G15" s="206" t="s">
        <v>79</v>
      </c>
      <c r="H15" s="207"/>
      <c r="I15" s="207"/>
      <c r="J15" s="207"/>
      <c r="K15" s="207"/>
      <c r="L15" s="207"/>
      <c r="M15" s="207"/>
      <c r="N15" s="207"/>
      <c r="O15" s="207"/>
      <c r="R15" s="16"/>
    </row>
    <row r="16" spans="7:18" ht="12.75">
      <c r="G16" s="45"/>
      <c r="H16" s="167" t="s">
        <v>87</v>
      </c>
      <c r="I16" s="167" t="s">
        <v>80</v>
      </c>
      <c r="J16" s="167" t="s">
        <v>81</v>
      </c>
      <c r="K16" s="167" t="s">
        <v>82</v>
      </c>
      <c r="L16" s="167" t="s">
        <v>83</v>
      </c>
      <c r="M16" s="167" t="s">
        <v>84</v>
      </c>
      <c r="N16" s="167" t="s">
        <v>85</v>
      </c>
      <c r="O16" s="167" t="s">
        <v>86</v>
      </c>
      <c r="R16" s="16"/>
    </row>
    <row r="17" spans="6:19" ht="12.75">
      <c r="F17" s="46" t="s">
        <v>186</v>
      </c>
      <c r="G17" s="47" t="str">
        <f>calculoC!F52</f>
        <v>아르헨티나</v>
      </c>
      <c r="H17" s="24">
        <f>calculoC!G52</f>
        <v>0</v>
      </c>
      <c r="I17" s="24">
        <f>calculoC!H52</f>
        <v>0</v>
      </c>
      <c r="J17" s="24">
        <f>calculoC!I52</f>
        <v>0</v>
      </c>
      <c r="K17" s="24">
        <f>calculoC!J52</f>
        <v>0</v>
      </c>
      <c r="L17" s="24">
        <f>calculoC!K52</f>
        <v>0</v>
      </c>
      <c r="M17" s="24">
        <f>calculoC!L52</f>
        <v>0</v>
      </c>
      <c r="N17" s="24">
        <f>L17-M17</f>
        <v>0</v>
      </c>
      <c r="O17" s="24">
        <f>calculoC!M52</f>
        <v>0</v>
      </c>
      <c r="P17" s="48"/>
      <c r="Q17" s="49"/>
      <c r="R17" s="50"/>
      <c r="S17" s="49"/>
    </row>
    <row r="18" spans="6:19" ht="12.75">
      <c r="F18" s="46" t="s">
        <v>186</v>
      </c>
      <c r="G18" s="47" t="str">
        <f>calculoC!F53</f>
        <v>코티드브아르</v>
      </c>
      <c r="H18" s="24">
        <f>calculoC!G53</f>
        <v>0</v>
      </c>
      <c r="I18" s="24">
        <f>calculoC!H53</f>
        <v>0</v>
      </c>
      <c r="J18" s="24">
        <f>calculoC!I53</f>
        <v>0</v>
      </c>
      <c r="K18" s="24">
        <f>calculoC!J53</f>
        <v>0</v>
      </c>
      <c r="L18" s="24">
        <f>calculoC!K53</f>
        <v>0</v>
      </c>
      <c r="M18" s="24">
        <f>calculoC!L53</f>
        <v>0</v>
      </c>
      <c r="N18" s="24">
        <f>L18-M18</f>
        <v>0</v>
      </c>
      <c r="O18" s="24">
        <f>calculoC!M53</f>
        <v>0</v>
      </c>
      <c r="P18" s="48"/>
      <c r="Q18" s="49"/>
      <c r="R18" s="50"/>
      <c r="S18" s="49"/>
    </row>
    <row r="19" spans="6:19" ht="12.75">
      <c r="F19" s="49"/>
      <c r="G19" s="47" t="str">
        <f>calculoC!F54</f>
        <v>세르비아</v>
      </c>
      <c r="H19" s="24">
        <f>calculoC!G54</f>
        <v>0</v>
      </c>
      <c r="I19" s="24">
        <f>calculoC!H54</f>
        <v>0</v>
      </c>
      <c r="J19" s="24">
        <f>calculoC!I54</f>
        <v>0</v>
      </c>
      <c r="K19" s="24">
        <f>calculoC!J54</f>
        <v>0</v>
      </c>
      <c r="L19" s="24">
        <f>calculoC!K54</f>
        <v>0</v>
      </c>
      <c r="M19" s="24">
        <f>calculoC!L54</f>
        <v>0</v>
      </c>
      <c r="N19" s="24">
        <f>L19-M19</f>
        <v>0</v>
      </c>
      <c r="O19" s="24">
        <f>calculoC!M54</f>
        <v>0</v>
      </c>
      <c r="P19" s="51"/>
      <c r="Q19" s="49"/>
      <c r="R19" s="50"/>
      <c r="S19" s="49"/>
    </row>
    <row r="20" spans="6:19" ht="12.75">
      <c r="F20" s="49"/>
      <c r="G20" s="47" t="str">
        <f>calculoC!F55</f>
        <v>네덜란드</v>
      </c>
      <c r="H20" s="24">
        <f>calculoC!G55</f>
        <v>0</v>
      </c>
      <c r="I20" s="24">
        <f>calculoC!H55</f>
        <v>0</v>
      </c>
      <c r="J20" s="24">
        <f>calculoC!I55</f>
        <v>0</v>
      </c>
      <c r="K20" s="24">
        <f>calculoC!J55</f>
        <v>0</v>
      </c>
      <c r="L20" s="24">
        <f>calculoC!K55</f>
        <v>0</v>
      </c>
      <c r="M20" s="24">
        <f>calculoC!L55</f>
        <v>0</v>
      </c>
      <c r="N20" s="24">
        <f>L20-M20</f>
        <v>0</v>
      </c>
      <c r="O20" s="24">
        <f>calculoC!M55</f>
        <v>0</v>
      </c>
      <c r="P20" s="51"/>
      <c r="Q20" s="51"/>
      <c r="R20" s="52"/>
      <c r="S20" s="51"/>
    </row>
    <row r="21" spans="14:19" ht="12.75">
      <c r="N21" s="53"/>
      <c r="O21" s="53"/>
      <c r="P21" s="53"/>
      <c r="Q21" s="53"/>
      <c r="R21" s="54"/>
      <c r="S21" s="53"/>
    </row>
    <row r="22" spans="14:19" ht="11.25" customHeight="1">
      <c r="N22" s="53"/>
      <c r="O22" s="53"/>
      <c r="P22" s="53"/>
      <c r="Q22" s="53"/>
      <c r="R22" s="54"/>
      <c r="S22" s="53"/>
    </row>
    <row r="23" spans="14:19" ht="9" customHeight="1">
      <c r="N23" s="53"/>
      <c r="O23" s="53"/>
      <c r="P23" s="53"/>
      <c r="R23" s="55"/>
      <c r="S23" s="53"/>
    </row>
    <row r="24" spans="2:19" ht="12.75">
      <c r="B24" s="56"/>
      <c r="C24" s="57"/>
      <c r="N24" s="58"/>
      <c r="O24" s="58"/>
      <c r="P24" s="171" t="s">
        <v>120</v>
      </c>
      <c r="Q24" s="169">
        <f ca="1">TODAY()</f>
        <v>38864</v>
      </c>
      <c r="R24" s="170">
        <f ca="1">NOW()</f>
        <v>38864.779269907405</v>
      </c>
      <c r="S24" s="59"/>
    </row>
    <row r="25" spans="1:20" ht="12.75" hidden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2">
        <f>HOUR(R24)</f>
        <v>18</v>
      </c>
      <c r="R25" s="62">
        <f>MINUTE(R24)</f>
        <v>42</v>
      </c>
      <c r="S25" s="63"/>
      <c r="T25" s="60"/>
    </row>
    <row r="26" spans="2:20" ht="12.75" hidden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0"/>
      <c r="Q26" s="62"/>
      <c r="R26" s="64">
        <f>TIME(Q25,R25,0)</f>
        <v>0.7791666666666667</v>
      </c>
      <c r="S26" s="63"/>
      <c r="T26" s="60"/>
    </row>
    <row r="27" spans="14:19" ht="12.75">
      <c r="N27" s="53"/>
      <c r="O27" s="53"/>
      <c r="P27" s="53"/>
      <c r="Q27" s="59"/>
      <c r="R27" s="59"/>
      <c r="S27" s="59"/>
    </row>
    <row r="28" spans="14:19" ht="12.75">
      <c r="N28" s="53"/>
      <c r="O28" s="53"/>
      <c r="P28" s="53"/>
      <c r="Q28" s="216" t="s">
        <v>177</v>
      </c>
      <c r="R28" s="216" t="s">
        <v>2</v>
      </c>
      <c r="S28" s="59"/>
    </row>
    <row r="29" spans="14:19" ht="12.75">
      <c r="N29" s="53"/>
      <c r="O29" s="53"/>
      <c r="P29" s="53"/>
      <c r="Q29" s="59"/>
      <c r="R29" s="59"/>
      <c r="S29" s="59"/>
    </row>
  </sheetData>
  <sheetProtection password="F52A" sheet="1" objects="1" scenarios="1"/>
  <mergeCells count="30">
    <mergeCell ref="Q11:R11"/>
    <mergeCell ref="Q13:R13"/>
    <mergeCell ref="G15:O15"/>
    <mergeCell ref="Q28:R28"/>
    <mergeCell ref="H10:I10"/>
    <mergeCell ref="J10:K10"/>
    <mergeCell ref="L10:M10"/>
    <mergeCell ref="H11:I11"/>
    <mergeCell ref="J11:K11"/>
    <mergeCell ref="L11:M11"/>
    <mergeCell ref="H9:I9"/>
    <mergeCell ref="J9:K9"/>
    <mergeCell ref="L9:M9"/>
    <mergeCell ref="Q9:R9"/>
    <mergeCell ref="Q7:R7"/>
    <mergeCell ref="H8:I8"/>
    <mergeCell ref="J8:K8"/>
    <mergeCell ref="L8:M8"/>
    <mergeCell ref="H6:I6"/>
    <mergeCell ref="J6:K6"/>
    <mergeCell ref="L6:M6"/>
    <mergeCell ref="H7:I7"/>
    <mergeCell ref="J7:K7"/>
    <mergeCell ref="L7:M7"/>
    <mergeCell ref="A1:S2"/>
    <mergeCell ref="B4:M4"/>
    <mergeCell ref="P4:S5"/>
    <mergeCell ref="H5:I5"/>
    <mergeCell ref="J5:K5"/>
    <mergeCell ref="L5:M5"/>
  </mergeCells>
  <conditionalFormatting sqref="F17:F18">
    <cfRule type="expression" priority="1" dxfId="0" stopIfTrue="1">
      <formula>IF(AND($H$17=3,$H$18=3,$H$19=3,$H$20=3),1,0)</formula>
    </cfRule>
  </conditionalFormatting>
  <conditionalFormatting sqref="G17:O18">
    <cfRule type="expression" priority="2" dxfId="1" stopIfTrue="1">
      <formula>IF(AND($H$17=3,$H$18=3,$H$19=3,$H$20=3),1,0)</formula>
    </cfRule>
  </conditionalFormatting>
  <conditionalFormatting sqref="B7:K7">
    <cfRule type="expression" priority="3" dxfId="1" stopIfTrue="1">
      <formula>IF(OR($L$7="en juego",$L$7="hoy!"),1,0)</formula>
    </cfRule>
  </conditionalFormatting>
  <conditionalFormatting sqref="L6:M11 B6:K6">
    <cfRule type="expression" priority="4" dxfId="1" stopIfTrue="1">
      <formula>IF(OR($L$6="en juego",$L$6="hoy!"),1,0)</formula>
    </cfRule>
  </conditionalFormatting>
  <conditionalFormatting sqref="B8:G8 H8:I9 J8:K8">
    <cfRule type="expression" priority="5" dxfId="1" stopIfTrue="1">
      <formula>IF(OR($L$8="en juego",$L$8="hoy!"),1,0)</formula>
    </cfRule>
  </conditionalFormatting>
  <conditionalFormatting sqref="B9:G9 J9:K9">
    <cfRule type="expression" priority="6" dxfId="1" stopIfTrue="1">
      <formula>IF(OR($L$9="en juego",$L$9="hoy!"),1,0)</formula>
    </cfRule>
  </conditionalFormatting>
  <conditionalFormatting sqref="B10:G10 H10:I11 J10:K10">
    <cfRule type="expression" priority="7" dxfId="1" stopIfTrue="1">
      <formula>IF(OR($L$10="en juego",$L$10="hoy!"),1,0)</formula>
    </cfRule>
  </conditionalFormatting>
  <conditionalFormatting sqref="B11:G11 J11:K11">
    <cfRule type="expression" priority="8" dxfId="1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" location="Portada!A1" display="Menu Principal"/>
    <hyperlink ref="R28" location="Portada!A1" display="#Portada.A1"/>
    <hyperlink ref="Q28:R28" location="Menu!A1" display="Menu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>
    <tabColor indexed="17"/>
    <pageSetUpPr fitToPage="1"/>
  </sheetPr>
  <dimension ref="A1:T29"/>
  <sheetViews>
    <sheetView showGridLines="0" showRowColHeaders="0" showOutlineSymbols="0" workbookViewId="0" topLeftCell="A1">
      <selection activeCell="A1" sqref="A1:S2"/>
    </sheetView>
  </sheetViews>
  <sheetFormatPr defaultColWidth="9.140625" defaultRowHeight="12.75"/>
  <cols>
    <col min="1" max="1" width="2.7109375" style="12" customWidth="1"/>
    <col min="2" max="2" width="14.28125" style="12" customWidth="1"/>
    <col min="3" max="3" width="3.28125" style="12" customWidth="1"/>
    <col min="4" max="4" width="1.7109375" style="12" customWidth="1"/>
    <col min="5" max="5" width="3.421875" style="12" customWidth="1"/>
    <col min="6" max="6" width="14.28125" style="12" customWidth="1"/>
    <col min="7" max="7" width="14.7109375" style="12" customWidth="1"/>
    <col min="8" max="12" width="3.7109375" style="12" customWidth="1"/>
    <col min="13" max="14" width="3.8515625" style="12" customWidth="1"/>
    <col min="15" max="15" width="4.7109375" style="12" customWidth="1"/>
    <col min="16" max="16" width="5.7109375" style="12" customWidth="1"/>
    <col min="17" max="18" width="7.7109375" style="12" customWidth="1"/>
    <col min="19" max="19" width="5.7109375" style="12" customWidth="1"/>
    <col min="20" max="20" width="7.7109375" style="12" customWidth="1"/>
    <col min="21" max="16384" width="11.421875" style="12" customWidth="1"/>
  </cols>
  <sheetData>
    <row r="1" spans="1:20" s="14" customFormat="1" ht="34.5" customHeight="1">
      <c r="A1" s="205" t="s">
        <v>66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13"/>
    </row>
    <row r="2" spans="1:20" s="14" customFormat="1" ht="34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5"/>
    </row>
    <row r="3" spans="7:18" ht="21" customHeight="1">
      <c r="G3" s="16"/>
      <c r="L3" s="17"/>
      <c r="M3" s="18"/>
      <c r="R3" s="16"/>
    </row>
    <row r="4" spans="2:19" ht="12.75" customHeight="1">
      <c r="B4" s="206" t="s">
        <v>78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P4" s="217" t="s">
        <v>70</v>
      </c>
      <c r="Q4" s="217"/>
      <c r="R4" s="217"/>
      <c r="S4" s="217"/>
    </row>
    <row r="5" spans="2:19" ht="12.75" customHeight="1">
      <c r="B5" s="19"/>
      <c r="C5" s="19"/>
      <c r="D5" s="19"/>
      <c r="E5" s="19"/>
      <c r="F5" s="19"/>
      <c r="G5" s="175" t="s">
        <v>123</v>
      </c>
      <c r="H5" s="209" t="s">
        <v>124</v>
      </c>
      <c r="I5" s="209"/>
      <c r="J5" s="210" t="s">
        <v>193</v>
      </c>
      <c r="K5" s="210"/>
      <c r="L5" s="210" t="s">
        <v>125</v>
      </c>
      <c r="M5" s="210"/>
      <c r="P5" s="217"/>
      <c r="Q5" s="217"/>
      <c r="R5" s="217"/>
      <c r="S5" s="217"/>
    </row>
    <row r="6" spans="1:18" ht="14.25" customHeight="1">
      <c r="A6" s="20">
        <f aca="true" t="shared" si="0" ref="A6:A11">IF(OR(L6="finalizado",L6="en juego",L6="hoy!"),"Ø","")</f>
      </c>
      <c r="B6" s="21" t="str">
        <f>Q7</f>
        <v>멕시코</v>
      </c>
      <c r="C6" s="22"/>
      <c r="D6" s="23" t="s">
        <v>3</v>
      </c>
      <c r="E6" s="22"/>
      <c r="F6" s="24" t="str">
        <f>Q9</f>
        <v>이란</v>
      </c>
      <c r="G6" s="25" t="s">
        <v>11</v>
      </c>
      <c r="H6" s="211">
        <v>38880</v>
      </c>
      <c r="I6" s="211"/>
      <c r="J6" s="212">
        <v>0.041666666666666664</v>
      </c>
      <c r="K6" s="212"/>
      <c r="L6" s="213">
        <f aca="true" t="shared" si="1" ref="L6:L11">IF(OR(H6="",J6="",H6&lt;$Q$24),"",IF(H6=$Q$24,IF(AND(J6&lt;=$R$26,$R$26&lt;=(J6+0.08333333333)),"진행중",IF($R$26&lt;J6,"오늘!","종료")),IF($Q$24&gt;H6,"종료","")))</f>
      </c>
      <c r="M6" s="213"/>
      <c r="R6" s="16"/>
    </row>
    <row r="7" spans="1:19" ht="14.25" customHeight="1">
      <c r="A7" s="20">
        <f t="shared" si="0"/>
      </c>
      <c r="B7" s="21" t="str">
        <f>Q11</f>
        <v>앙골라</v>
      </c>
      <c r="C7" s="22"/>
      <c r="D7" s="23" t="s">
        <v>3</v>
      </c>
      <c r="E7" s="22"/>
      <c r="F7" s="24" t="str">
        <f>Q13</f>
        <v>포르투갈</v>
      </c>
      <c r="G7" s="25" t="s">
        <v>183</v>
      </c>
      <c r="H7" s="211">
        <v>38880</v>
      </c>
      <c r="I7" s="211"/>
      <c r="J7" s="212">
        <v>0.16666666666666666</v>
      </c>
      <c r="K7" s="212"/>
      <c r="L7" s="213">
        <f t="shared" si="1"/>
      </c>
      <c r="M7" s="213"/>
      <c r="N7" s="26"/>
      <c r="O7" s="27"/>
      <c r="P7" s="28"/>
      <c r="Q7" s="214" t="s">
        <v>99</v>
      </c>
      <c r="R7" s="215"/>
      <c r="S7" s="28"/>
    </row>
    <row r="8" spans="1:19" ht="14.25" customHeight="1">
      <c r="A8" s="20">
        <f t="shared" si="0"/>
      </c>
      <c r="B8" s="21" t="str">
        <f>Q7</f>
        <v>멕시코</v>
      </c>
      <c r="C8" s="22"/>
      <c r="D8" s="23" t="s">
        <v>3</v>
      </c>
      <c r="E8" s="22"/>
      <c r="F8" s="24" t="str">
        <f>Q11</f>
        <v>앙골라</v>
      </c>
      <c r="G8" s="25" t="s">
        <v>182</v>
      </c>
      <c r="H8" s="211">
        <v>38885</v>
      </c>
      <c r="I8" s="211"/>
      <c r="J8" s="212">
        <v>0.16666666666666666</v>
      </c>
      <c r="K8" s="212"/>
      <c r="L8" s="213">
        <f t="shared" si="1"/>
      </c>
      <c r="M8" s="213"/>
      <c r="N8" s="29"/>
      <c r="O8" s="30"/>
      <c r="P8" s="31"/>
      <c r="Q8" s="32"/>
      <c r="R8" s="33"/>
      <c r="S8" s="31"/>
    </row>
    <row r="9" spans="1:19" ht="14.25" customHeight="1">
      <c r="A9" s="20">
        <f t="shared" si="0"/>
      </c>
      <c r="B9" s="21" t="str">
        <f>Q13</f>
        <v>포르투갈</v>
      </c>
      <c r="C9" s="22"/>
      <c r="D9" s="23" t="s">
        <v>3</v>
      </c>
      <c r="E9" s="22"/>
      <c r="F9" s="24" t="str">
        <f>Q9</f>
        <v>이란</v>
      </c>
      <c r="G9" s="25" t="s">
        <v>10</v>
      </c>
      <c r="H9" s="211">
        <v>38885</v>
      </c>
      <c r="I9" s="211"/>
      <c r="J9" s="212">
        <v>0.9166666666666666</v>
      </c>
      <c r="K9" s="212"/>
      <c r="L9" s="213">
        <f t="shared" si="1"/>
      </c>
      <c r="M9" s="213"/>
      <c r="P9" s="28"/>
      <c r="Q9" s="214" t="s">
        <v>100</v>
      </c>
      <c r="R9" s="215"/>
      <c r="S9" s="28"/>
    </row>
    <row r="10" spans="1:19" ht="14.25" customHeight="1">
      <c r="A10" s="20">
        <f t="shared" si="0"/>
      </c>
      <c r="B10" s="21" t="str">
        <f>Q13</f>
        <v>포르투갈</v>
      </c>
      <c r="C10" s="22"/>
      <c r="D10" s="23" t="s">
        <v>3</v>
      </c>
      <c r="E10" s="22"/>
      <c r="F10" s="24" t="str">
        <f>Q7</f>
        <v>멕시코</v>
      </c>
      <c r="G10" s="25" t="s">
        <v>5</v>
      </c>
      <c r="H10" s="211">
        <v>38889</v>
      </c>
      <c r="I10" s="211"/>
      <c r="J10" s="212">
        <v>0.9583333333333334</v>
      </c>
      <c r="K10" s="212"/>
      <c r="L10" s="213">
        <f t="shared" si="1"/>
      </c>
      <c r="M10" s="213"/>
      <c r="P10" s="31"/>
      <c r="Q10" s="32"/>
      <c r="R10" s="33"/>
      <c r="S10" s="31"/>
    </row>
    <row r="11" spans="1:19" ht="14.25" customHeight="1">
      <c r="A11" s="20">
        <f t="shared" si="0"/>
      </c>
      <c r="B11" s="21" t="str">
        <f>Q9</f>
        <v>이란</v>
      </c>
      <c r="C11" s="22"/>
      <c r="D11" s="23" t="s">
        <v>3</v>
      </c>
      <c r="E11" s="22"/>
      <c r="F11" s="24" t="str">
        <f>Q11</f>
        <v>앙골라</v>
      </c>
      <c r="G11" s="25" t="s">
        <v>12</v>
      </c>
      <c r="H11" s="211">
        <v>38889</v>
      </c>
      <c r="I11" s="211"/>
      <c r="J11" s="212">
        <v>0.9583333333333334</v>
      </c>
      <c r="K11" s="212"/>
      <c r="L11" s="213">
        <f t="shared" si="1"/>
      </c>
      <c r="M11" s="213"/>
      <c r="P11" s="28"/>
      <c r="Q11" s="214" t="s">
        <v>101</v>
      </c>
      <c r="R11" s="215"/>
      <c r="S11" s="28"/>
    </row>
    <row r="12" spans="2:19" ht="13.5" customHeight="1">
      <c r="B12" s="34"/>
      <c r="C12" s="35"/>
      <c r="D12" s="36"/>
      <c r="E12" s="35"/>
      <c r="F12" s="19"/>
      <c r="G12" s="37"/>
      <c r="H12" s="36"/>
      <c r="I12" s="38"/>
      <c r="J12" s="17"/>
      <c r="K12" s="39"/>
      <c r="L12" s="40"/>
      <c r="M12" s="40"/>
      <c r="P12" s="31"/>
      <c r="Q12" s="32"/>
      <c r="R12" s="33"/>
      <c r="S12" s="31"/>
    </row>
    <row r="13" spans="2:19" ht="13.5" customHeight="1">
      <c r="B13" s="34"/>
      <c r="C13" s="35"/>
      <c r="D13" s="36"/>
      <c r="E13" s="35"/>
      <c r="F13" s="19"/>
      <c r="G13" s="37"/>
      <c r="H13" s="36"/>
      <c r="I13" s="36"/>
      <c r="J13" s="17"/>
      <c r="K13" s="41"/>
      <c r="L13" s="40"/>
      <c r="M13" s="40"/>
      <c r="P13" s="28"/>
      <c r="Q13" s="214" t="s">
        <v>102</v>
      </c>
      <c r="R13" s="215"/>
      <c r="S13" s="28"/>
    </row>
    <row r="14" spans="2:18" ht="13.5" customHeight="1">
      <c r="B14" s="34"/>
      <c r="C14" s="35"/>
      <c r="D14" s="36"/>
      <c r="E14" s="35"/>
      <c r="F14" s="19"/>
      <c r="G14" s="37"/>
      <c r="H14" s="36"/>
      <c r="I14" s="36"/>
      <c r="J14" s="17"/>
      <c r="K14" s="41"/>
      <c r="L14" s="40"/>
      <c r="M14" s="40"/>
      <c r="Q14" s="43"/>
      <c r="R14" s="65"/>
    </row>
    <row r="15" spans="7:18" ht="12.75">
      <c r="G15" s="206" t="s">
        <v>79</v>
      </c>
      <c r="H15" s="207"/>
      <c r="I15" s="207"/>
      <c r="J15" s="207"/>
      <c r="K15" s="207"/>
      <c r="L15" s="207"/>
      <c r="M15" s="207"/>
      <c r="N15" s="207"/>
      <c r="O15" s="207"/>
      <c r="R15" s="16"/>
    </row>
    <row r="16" spans="7:18" ht="12.75">
      <c r="G16" s="45"/>
      <c r="H16" s="167" t="s">
        <v>87</v>
      </c>
      <c r="I16" s="167" t="s">
        <v>80</v>
      </c>
      <c r="J16" s="167" t="s">
        <v>81</v>
      </c>
      <c r="K16" s="167" t="s">
        <v>82</v>
      </c>
      <c r="L16" s="167" t="s">
        <v>83</v>
      </c>
      <c r="M16" s="167" t="s">
        <v>84</v>
      </c>
      <c r="N16" s="167" t="s">
        <v>85</v>
      </c>
      <c r="O16" s="167" t="s">
        <v>86</v>
      </c>
      <c r="R16" s="16"/>
    </row>
    <row r="17" spans="6:19" ht="12.75">
      <c r="F17" s="46" t="s">
        <v>186</v>
      </c>
      <c r="G17" s="47" t="str">
        <f>calculoD!F52</f>
        <v>멕시코</v>
      </c>
      <c r="H17" s="24">
        <f>calculoD!G52</f>
        <v>0</v>
      </c>
      <c r="I17" s="24">
        <f>calculoD!H52</f>
        <v>0</v>
      </c>
      <c r="J17" s="24">
        <f>calculoD!I52</f>
        <v>0</v>
      </c>
      <c r="K17" s="24">
        <f>calculoD!J52</f>
        <v>0</v>
      </c>
      <c r="L17" s="24">
        <f>calculoD!K52</f>
        <v>0</v>
      </c>
      <c r="M17" s="24">
        <f>calculoD!L52</f>
        <v>0</v>
      </c>
      <c r="N17" s="24">
        <f>L17-M17</f>
        <v>0</v>
      </c>
      <c r="O17" s="24">
        <f>calculoD!M52</f>
        <v>0</v>
      </c>
      <c r="P17" s="48"/>
      <c r="Q17" s="49"/>
      <c r="R17" s="50"/>
      <c r="S17" s="49"/>
    </row>
    <row r="18" spans="6:19" ht="12.75">
      <c r="F18" s="46" t="s">
        <v>186</v>
      </c>
      <c r="G18" s="47" t="str">
        <f>calculoD!F53</f>
        <v>이란</v>
      </c>
      <c r="H18" s="24">
        <f>calculoD!G53</f>
        <v>0</v>
      </c>
      <c r="I18" s="24">
        <f>calculoD!H53</f>
        <v>0</v>
      </c>
      <c r="J18" s="24">
        <f>calculoD!I53</f>
        <v>0</v>
      </c>
      <c r="K18" s="24">
        <f>calculoD!J53</f>
        <v>0</v>
      </c>
      <c r="L18" s="24">
        <f>calculoD!K53</f>
        <v>0</v>
      </c>
      <c r="M18" s="24">
        <f>calculoD!L53</f>
        <v>0</v>
      </c>
      <c r="N18" s="24">
        <f>L18-M18</f>
        <v>0</v>
      </c>
      <c r="O18" s="24">
        <f>calculoD!M53</f>
        <v>0</v>
      </c>
      <c r="P18" s="48"/>
      <c r="Q18" s="49"/>
      <c r="R18" s="50"/>
      <c r="S18" s="49"/>
    </row>
    <row r="19" spans="6:19" ht="12.75">
      <c r="F19" s="49"/>
      <c r="G19" s="47" t="str">
        <f>calculoD!F54</f>
        <v>앙골라</v>
      </c>
      <c r="H19" s="24">
        <f>calculoD!G54</f>
        <v>0</v>
      </c>
      <c r="I19" s="24">
        <f>calculoD!H54</f>
        <v>0</v>
      </c>
      <c r="J19" s="24">
        <f>calculoD!I54</f>
        <v>0</v>
      </c>
      <c r="K19" s="24">
        <f>calculoD!J54</f>
        <v>0</v>
      </c>
      <c r="L19" s="24">
        <f>calculoD!K54</f>
        <v>0</v>
      </c>
      <c r="M19" s="24">
        <f>calculoD!L54</f>
        <v>0</v>
      </c>
      <c r="N19" s="24">
        <f>L19-M19</f>
        <v>0</v>
      </c>
      <c r="O19" s="24">
        <f>calculoD!M54</f>
        <v>0</v>
      </c>
      <c r="P19" s="51"/>
      <c r="Q19" s="49"/>
      <c r="R19" s="50"/>
      <c r="S19" s="49"/>
    </row>
    <row r="20" spans="6:19" ht="12.75">
      <c r="F20" s="49"/>
      <c r="G20" s="47" t="str">
        <f>calculoD!F55</f>
        <v>포르투갈</v>
      </c>
      <c r="H20" s="24">
        <f>calculoD!G55</f>
        <v>0</v>
      </c>
      <c r="I20" s="24">
        <f>calculoD!H55</f>
        <v>0</v>
      </c>
      <c r="J20" s="24">
        <f>calculoD!I55</f>
        <v>0</v>
      </c>
      <c r="K20" s="24">
        <f>calculoD!J55</f>
        <v>0</v>
      </c>
      <c r="L20" s="24">
        <f>calculoD!K55</f>
        <v>0</v>
      </c>
      <c r="M20" s="24">
        <f>calculoD!L55</f>
        <v>0</v>
      </c>
      <c r="N20" s="24">
        <f>L20-M20</f>
        <v>0</v>
      </c>
      <c r="O20" s="24">
        <f>calculoD!M55</f>
        <v>0</v>
      </c>
      <c r="P20" s="51"/>
      <c r="Q20" s="51"/>
      <c r="R20" s="52"/>
      <c r="S20" s="51"/>
    </row>
    <row r="21" spans="14:19" ht="12.75">
      <c r="N21" s="53"/>
      <c r="O21" s="53"/>
      <c r="P21" s="53"/>
      <c r="Q21" s="53"/>
      <c r="R21" s="54"/>
      <c r="S21" s="53"/>
    </row>
    <row r="22" spans="14:19" ht="11.25" customHeight="1">
      <c r="N22" s="53"/>
      <c r="O22" s="53"/>
      <c r="P22" s="53"/>
      <c r="Q22" s="53"/>
      <c r="R22" s="54"/>
      <c r="S22" s="53"/>
    </row>
    <row r="23" spans="14:19" ht="9" customHeight="1">
      <c r="N23" s="53"/>
      <c r="O23" s="53"/>
      <c r="P23" s="53"/>
      <c r="R23" s="55"/>
      <c r="S23" s="53"/>
    </row>
    <row r="24" spans="2:19" ht="12.75">
      <c r="B24" s="56"/>
      <c r="C24" s="57"/>
      <c r="N24" s="58"/>
      <c r="O24" s="58"/>
      <c r="P24" s="171" t="s">
        <v>120</v>
      </c>
      <c r="Q24" s="169">
        <f ca="1">TODAY()</f>
        <v>38864</v>
      </c>
      <c r="R24" s="170">
        <f ca="1">NOW()</f>
        <v>38864.779269907405</v>
      </c>
      <c r="S24" s="59"/>
    </row>
    <row r="25" spans="1:20" ht="12.75" hidden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2">
        <f>HOUR(R24)</f>
        <v>18</v>
      </c>
      <c r="R25" s="62">
        <f>MINUTE(R24)</f>
        <v>42</v>
      </c>
      <c r="S25" s="63"/>
      <c r="T25" s="60"/>
    </row>
    <row r="26" spans="2:20" ht="12.75" hidden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0"/>
      <c r="Q26" s="62"/>
      <c r="R26" s="64">
        <f>TIME(Q25,R25,0)</f>
        <v>0.7791666666666667</v>
      </c>
      <c r="S26" s="63"/>
      <c r="T26" s="60"/>
    </row>
    <row r="27" spans="14:19" ht="12.75">
      <c r="N27" s="53"/>
      <c r="O27" s="53"/>
      <c r="P27" s="53"/>
      <c r="Q27" s="59"/>
      <c r="R27" s="59"/>
      <c r="S27" s="59"/>
    </row>
    <row r="28" spans="14:19" ht="12.75">
      <c r="N28" s="53"/>
      <c r="O28" s="53"/>
      <c r="P28" s="53"/>
      <c r="Q28" s="216" t="s">
        <v>189</v>
      </c>
      <c r="R28" s="216" t="s">
        <v>2</v>
      </c>
      <c r="S28" s="59"/>
    </row>
    <row r="29" spans="14:19" ht="12.75">
      <c r="N29" s="53"/>
      <c r="O29" s="53"/>
      <c r="P29" s="53"/>
      <c r="Q29" s="59"/>
      <c r="R29" s="59"/>
      <c r="S29" s="59"/>
    </row>
  </sheetData>
  <sheetProtection password="F52A" sheet="1" objects="1" scenarios="1"/>
  <mergeCells count="30">
    <mergeCell ref="Q11:R11"/>
    <mergeCell ref="Q13:R13"/>
    <mergeCell ref="G15:O15"/>
    <mergeCell ref="Q28:R28"/>
    <mergeCell ref="H10:I10"/>
    <mergeCell ref="J10:K10"/>
    <mergeCell ref="L10:M10"/>
    <mergeCell ref="H11:I11"/>
    <mergeCell ref="J11:K11"/>
    <mergeCell ref="L11:M11"/>
    <mergeCell ref="H9:I9"/>
    <mergeCell ref="J9:K9"/>
    <mergeCell ref="L9:M9"/>
    <mergeCell ref="Q9:R9"/>
    <mergeCell ref="Q7:R7"/>
    <mergeCell ref="H8:I8"/>
    <mergeCell ref="J8:K8"/>
    <mergeCell ref="L8:M8"/>
    <mergeCell ref="H6:I6"/>
    <mergeCell ref="J6:K6"/>
    <mergeCell ref="L6:M6"/>
    <mergeCell ref="H7:I7"/>
    <mergeCell ref="J7:K7"/>
    <mergeCell ref="L7:M7"/>
    <mergeCell ref="A1:S2"/>
    <mergeCell ref="B4:M4"/>
    <mergeCell ref="P4:S5"/>
    <mergeCell ref="H5:I5"/>
    <mergeCell ref="J5:K5"/>
    <mergeCell ref="L5:M5"/>
  </mergeCells>
  <conditionalFormatting sqref="F17:F18">
    <cfRule type="expression" priority="1" dxfId="0" stopIfTrue="1">
      <formula>IF(AND($H$17=3,$H$18=3,$H$19=3,$H$20=3),1,0)</formula>
    </cfRule>
  </conditionalFormatting>
  <conditionalFormatting sqref="G17:O18">
    <cfRule type="expression" priority="2" dxfId="1" stopIfTrue="1">
      <formula>IF(AND($H$17=3,$H$18=3,$H$19=3,$H$20=3),1,0)</formula>
    </cfRule>
  </conditionalFormatting>
  <conditionalFormatting sqref="B7:I7 J7:K8 J10:K11">
    <cfRule type="expression" priority="3" dxfId="1" stopIfTrue="1">
      <formula>IF(OR($L$7="en juego",$L$7="hoy!"),1,0)</formula>
    </cfRule>
  </conditionalFormatting>
  <conditionalFormatting sqref="L6:M11 B6:K6">
    <cfRule type="expression" priority="4" dxfId="1" stopIfTrue="1">
      <formula>IF(OR($L$6="en juego",$L$6="hoy!"),1,0)</formula>
    </cfRule>
  </conditionalFormatting>
  <conditionalFormatting sqref="B8:I8">
    <cfRule type="expression" priority="5" dxfId="1" stopIfTrue="1">
      <formula>IF(OR($L$8="en juego",$L$8="hoy!"),1,0)</formula>
    </cfRule>
  </conditionalFormatting>
  <conditionalFormatting sqref="B9:K9">
    <cfRule type="expression" priority="6" dxfId="1" stopIfTrue="1">
      <formula>IF(OR($L$9="en juego",$L$9="hoy!"),1,0)</formula>
    </cfRule>
  </conditionalFormatting>
  <conditionalFormatting sqref="B10:I10">
    <cfRule type="expression" priority="7" dxfId="1" stopIfTrue="1">
      <formula>IF(OR($L$10="en juego",$L$10="hoy!"),1,0)</formula>
    </cfRule>
  </conditionalFormatting>
  <conditionalFormatting sqref="B11:I11">
    <cfRule type="expression" priority="8" dxfId="1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" location="Portada!A1" display="Menu Principal"/>
    <hyperlink ref="R28" location="Portada!A1" display="#Portada.A1"/>
    <hyperlink ref="Q28:R28" location="Menu!A1" display="Menu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>
    <tabColor indexed="17"/>
    <pageSetUpPr fitToPage="1"/>
  </sheetPr>
  <dimension ref="A1:T29"/>
  <sheetViews>
    <sheetView showGridLines="0" showRowColHeaders="0" showOutlineSymbols="0" workbookViewId="0" topLeftCell="A1">
      <selection activeCell="Z47" sqref="Z47"/>
    </sheetView>
  </sheetViews>
  <sheetFormatPr defaultColWidth="9.140625" defaultRowHeight="12.75"/>
  <cols>
    <col min="1" max="1" width="2.7109375" style="12" customWidth="1"/>
    <col min="2" max="2" width="14.28125" style="12" customWidth="1"/>
    <col min="3" max="3" width="3.28125" style="12" customWidth="1"/>
    <col min="4" max="4" width="1.7109375" style="12" customWidth="1"/>
    <col min="5" max="5" width="3.421875" style="12" customWidth="1"/>
    <col min="6" max="6" width="14.28125" style="12" customWidth="1"/>
    <col min="7" max="7" width="14.7109375" style="12" customWidth="1"/>
    <col min="8" max="12" width="3.7109375" style="12" customWidth="1"/>
    <col min="13" max="14" width="3.8515625" style="12" customWidth="1"/>
    <col min="15" max="15" width="4.7109375" style="12" customWidth="1"/>
    <col min="16" max="16" width="5.7109375" style="12" customWidth="1"/>
    <col min="17" max="18" width="7.7109375" style="12" customWidth="1"/>
    <col min="19" max="19" width="5.7109375" style="12" customWidth="1"/>
    <col min="20" max="20" width="7.7109375" style="12" customWidth="1"/>
    <col min="21" max="16384" width="11.421875" style="12" customWidth="1"/>
  </cols>
  <sheetData>
    <row r="1" spans="1:20" s="14" customFormat="1" ht="34.5" customHeight="1">
      <c r="A1" s="205" t="s">
        <v>66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13"/>
    </row>
    <row r="2" spans="1:20" s="14" customFormat="1" ht="34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5"/>
    </row>
    <row r="3" spans="7:18" ht="21" customHeight="1">
      <c r="G3" s="16"/>
      <c r="L3" s="17"/>
      <c r="M3" s="18"/>
      <c r="R3" s="16"/>
    </row>
    <row r="4" spans="2:19" ht="12.75" customHeight="1">
      <c r="B4" s="206" t="s">
        <v>78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P4" s="217" t="s">
        <v>71</v>
      </c>
      <c r="Q4" s="217"/>
      <c r="R4" s="217"/>
      <c r="S4" s="217"/>
    </row>
    <row r="5" spans="2:19" ht="12.75" customHeight="1">
      <c r="B5" s="19"/>
      <c r="C5" s="19"/>
      <c r="D5" s="19"/>
      <c r="E5" s="19"/>
      <c r="F5" s="19"/>
      <c r="G5" s="175" t="s">
        <v>123</v>
      </c>
      <c r="H5" s="209" t="s">
        <v>124</v>
      </c>
      <c r="I5" s="209"/>
      <c r="J5" s="210" t="s">
        <v>193</v>
      </c>
      <c r="K5" s="210"/>
      <c r="L5" s="210" t="s">
        <v>125</v>
      </c>
      <c r="M5" s="210"/>
      <c r="P5" s="217"/>
      <c r="Q5" s="217"/>
      <c r="R5" s="217"/>
      <c r="S5" s="217"/>
    </row>
    <row r="6" spans="1:18" ht="14.25" customHeight="1">
      <c r="A6" s="20">
        <f aca="true" t="shared" si="0" ref="A6:A11">IF(OR(L6="finalizado",L6="en juego",L6="hoy!"),"Ø","")</f>
      </c>
      <c r="B6" s="21" t="str">
        <f>Q7</f>
        <v>이탈리아</v>
      </c>
      <c r="C6" s="22"/>
      <c r="D6" s="23" t="s">
        <v>3</v>
      </c>
      <c r="E6" s="22"/>
      <c r="F6" s="24" t="str">
        <f>Q9</f>
        <v>가나</v>
      </c>
      <c r="G6" s="25" t="s">
        <v>182</v>
      </c>
      <c r="H6" s="211">
        <v>38881</v>
      </c>
      <c r="I6" s="211"/>
      <c r="J6" s="212">
        <v>0.16666666666666666</v>
      </c>
      <c r="K6" s="212"/>
      <c r="L6" s="213">
        <f aca="true" t="shared" si="1" ref="L6:L11">IF(OR(H6="",J6="",H6&lt;$Q$24),"",IF(H6=$Q$24,IF(AND(J6&lt;=$R$26,$R$26&lt;=(J6+0.08333333333)),"진행중",IF($R$26&lt;J6,"오늘!","종료")),IF($Q$24&gt;H6,"종료","")))</f>
      </c>
      <c r="M6" s="213"/>
      <c r="R6" s="16"/>
    </row>
    <row r="7" spans="1:19" ht="14.25" customHeight="1">
      <c r="A7" s="20">
        <f t="shared" si="0"/>
      </c>
      <c r="B7" s="21" t="str">
        <f>Q11</f>
        <v>미국</v>
      </c>
      <c r="C7" s="22"/>
      <c r="D7" s="23" t="s">
        <v>3</v>
      </c>
      <c r="E7" s="22"/>
      <c r="F7" s="24" t="str">
        <f>Q13</f>
        <v>체코</v>
      </c>
      <c r="G7" s="25" t="s">
        <v>5</v>
      </c>
      <c r="H7" s="211">
        <v>38881</v>
      </c>
      <c r="I7" s="211"/>
      <c r="J7" s="212">
        <v>0.041666666666666664</v>
      </c>
      <c r="K7" s="212"/>
      <c r="L7" s="213">
        <f t="shared" si="1"/>
      </c>
      <c r="M7" s="213"/>
      <c r="N7" s="26"/>
      <c r="O7" s="27"/>
      <c r="P7" s="28"/>
      <c r="Q7" s="214" t="s">
        <v>103</v>
      </c>
      <c r="R7" s="215"/>
      <c r="S7" s="28"/>
    </row>
    <row r="8" spans="1:19" ht="14.25" customHeight="1">
      <c r="A8" s="20">
        <f t="shared" si="0"/>
      </c>
      <c r="B8" s="21" t="str">
        <f>Q7</f>
        <v>이탈리아</v>
      </c>
      <c r="C8" s="22"/>
      <c r="D8" s="23" t="s">
        <v>3</v>
      </c>
      <c r="E8" s="22"/>
      <c r="F8" s="24" t="str">
        <f>Q11</f>
        <v>미국</v>
      </c>
      <c r="G8" s="25" t="s">
        <v>184</v>
      </c>
      <c r="H8" s="211">
        <v>38886</v>
      </c>
      <c r="I8" s="211"/>
      <c r="J8" s="212">
        <v>0.16666666666666666</v>
      </c>
      <c r="K8" s="212"/>
      <c r="L8" s="213">
        <f t="shared" si="1"/>
      </c>
      <c r="M8" s="213"/>
      <c r="N8" s="29"/>
      <c r="O8" s="30"/>
      <c r="P8" s="31"/>
      <c r="Q8" s="32"/>
      <c r="R8" s="33"/>
      <c r="S8" s="31"/>
    </row>
    <row r="9" spans="1:19" ht="14.25" customHeight="1">
      <c r="A9" s="20">
        <f t="shared" si="0"/>
      </c>
      <c r="B9" s="21" t="str">
        <f>Q13</f>
        <v>체코</v>
      </c>
      <c r="C9" s="22"/>
      <c r="D9" s="23" t="s">
        <v>3</v>
      </c>
      <c r="E9" s="22"/>
      <c r="F9" s="24" t="str">
        <f>Q9</f>
        <v>가나</v>
      </c>
      <c r="G9" s="25" t="s">
        <v>183</v>
      </c>
      <c r="H9" s="211">
        <v>38886</v>
      </c>
      <c r="I9" s="211"/>
      <c r="J9" s="212">
        <v>0.041666666666666664</v>
      </c>
      <c r="K9" s="212"/>
      <c r="L9" s="213">
        <f t="shared" si="1"/>
      </c>
      <c r="M9" s="213"/>
      <c r="P9" s="28"/>
      <c r="Q9" s="214" t="s">
        <v>104</v>
      </c>
      <c r="R9" s="215"/>
      <c r="S9" s="28"/>
    </row>
    <row r="10" spans="1:19" ht="14.25" customHeight="1">
      <c r="A10" s="20">
        <f t="shared" si="0"/>
      </c>
      <c r="B10" s="21" t="str">
        <f>Q13</f>
        <v>체코</v>
      </c>
      <c r="C10" s="22"/>
      <c r="D10" s="23" t="s">
        <v>3</v>
      </c>
      <c r="E10" s="22"/>
      <c r="F10" s="24" t="str">
        <f>Q7</f>
        <v>이탈리아</v>
      </c>
      <c r="G10" s="25" t="s">
        <v>181</v>
      </c>
      <c r="H10" s="211">
        <v>38890</v>
      </c>
      <c r="I10" s="211"/>
      <c r="J10" s="212">
        <v>0.9583333333333334</v>
      </c>
      <c r="K10" s="212"/>
      <c r="L10" s="213">
        <f t="shared" si="1"/>
      </c>
      <c r="M10" s="213"/>
      <c r="P10" s="31"/>
      <c r="Q10" s="32"/>
      <c r="R10" s="33"/>
      <c r="S10" s="31"/>
    </row>
    <row r="11" spans="1:19" ht="14.25" customHeight="1">
      <c r="A11" s="20">
        <f t="shared" si="0"/>
      </c>
      <c r="B11" s="21" t="str">
        <f>Q9</f>
        <v>가나</v>
      </c>
      <c r="C11" s="22"/>
      <c r="D11" s="23" t="s">
        <v>3</v>
      </c>
      <c r="E11" s="22"/>
      <c r="F11" s="24" t="str">
        <f>Q11</f>
        <v>미국</v>
      </c>
      <c r="G11" s="25" t="s">
        <v>11</v>
      </c>
      <c r="H11" s="211">
        <v>38890</v>
      </c>
      <c r="I11" s="211"/>
      <c r="J11" s="212">
        <v>0.9583333333333334</v>
      </c>
      <c r="K11" s="212"/>
      <c r="L11" s="213">
        <f t="shared" si="1"/>
      </c>
      <c r="M11" s="213"/>
      <c r="P11" s="28"/>
      <c r="Q11" s="214" t="s">
        <v>105</v>
      </c>
      <c r="R11" s="215"/>
      <c r="S11" s="28"/>
    </row>
    <row r="12" spans="2:19" ht="13.5" customHeight="1">
      <c r="B12" s="34"/>
      <c r="C12" s="35"/>
      <c r="D12" s="36"/>
      <c r="E12" s="35"/>
      <c r="F12" s="19"/>
      <c r="G12" s="37"/>
      <c r="H12" s="36"/>
      <c r="I12" s="38"/>
      <c r="J12" s="17"/>
      <c r="K12" s="39"/>
      <c r="L12" s="40"/>
      <c r="M12" s="40"/>
      <c r="P12" s="31"/>
      <c r="Q12" s="32"/>
      <c r="R12" s="33"/>
      <c r="S12" s="31"/>
    </row>
    <row r="13" spans="2:19" ht="13.5" customHeight="1">
      <c r="B13" s="34"/>
      <c r="C13" s="35"/>
      <c r="D13" s="36"/>
      <c r="E13" s="35"/>
      <c r="F13" s="19"/>
      <c r="G13" s="37"/>
      <c r="H13" s="36"/>
      <c r="I13" s="36"/>
      <c r="J13" s="17"/>
      <c r="K13" s="41"/>
      <c r="L13" s="40"/>
      <c r="M13" s="40"/>
      <c r="P13" s="28"/>
      <c r="Q13" s="214" t="s">
        <v>106</v>
      </c>
      <c r="R13" s="215"/>
      <c r="S13" s="28"/>
    </row>
    <row r="14" spans="2:18" ht="13.5" customHeight="1">
      <c r="B14" s="34"/>
      <c r="C14" s="35"/>
      <c r="D14" s="36"/>
      <c r="E14" s="35"/>
      <c r="F14" s="19"/>
      <c r="G14" s="37"/>
      <c r="H14" s="36"/>
      <c r="I14" s="36"/>
      <c r="J14" s="17"/>
      <c r="K14" s="41"/>
      <c r="L14" s="40"/>
      <c r="M14" s="40"/>
      <c r="Q14" s="43"/>
      <c r="R14" s="65"/>
    </row>
    <row r="15" spans="7:18" ht="12.75">
      <c r="G15" s="206" t="s">
        <v>79</v>
      </c>
      <c r="H15" s="207"/>
      <c r="I15" s="207"/>
      <c r="J15" s="207"/>
      <c r="K15" s="207"/>
      <c r="L15" s="207"/>
      <c r="M15" s="207"/>
      <c r="N15" s="207"/>
      <c r="O15" s="207"/>
      <c r="R15" s="16"/>
    </row>
    <row r="16" spans="7:18" ht="12.75">
      <c r="G16" s="45"/>
      <c r="H16" s="167" t="s">
        <v>87</v>
      </c>
      <c r="I16" s="167" t="s">
        <v>80</v>
      </c>
      <c r="J16" s="167" t="s">
        <v>81</v>
      </c>
      <c r="K16" s="167" t="s">
        <v>82</v>
      </c>
      <c r="L16" s="167" t="s">
        <v>83</v>
      </c>
      <c r="M16" s="167" t="s">
        <v>84</v>
      </c>
      <c r="N16" s="167" t="s">
        <v>85</v>
      </c>
      <c r="O16" s="167" t="s">
        <v>86</v>
      </c>
      <c r="R16" s="16"/>
    </row>
    <row r="17" spans="6:19" ht="12.75">
      <c r="F17" s="46" t="s">
        <v>186</v>
      </c>
      <c r="G17" s="47" t="str">
        <f>calculoE!F52</f>
        <v>이탈리아</v>
      </c>
      <c r="H17" s="24">
        <f>calculoE!G52</f>
        <v>0</v>
      </c>
      <c r="I17" s="24">
        <f>calculoE!H52</f>
        <v>0</v>
      </c>
      <c r="J17" s="24">
        <f>calculoE!I52</f>
        <v>0</v>
      </c>
      <c r="K17" s="24">
        <f>calculoE!J52</f>
        <v>0</v>
      </c>
      <c r="L17" s="24">
        <f>calculoE!K52</f>
        <v>0</v>
      </c>
      <c r="M17" s="24">
        <f>calculoE!L52</f>
        <v>0</v>
      </c>
      <c r="N17" s="24">
        <f>L17-M17</f>
        <v>0</v>
      </c>
      <c r="O17" s="24">
        <f>calculoE!M52</f>
        <v>0</v>
      </c>
      <c r="P17" s="48"/>
      <c r="Q17" s="49"/>
      <c r="R17" s="50"/>
      <c r="S17" s="49"/>
    </row>
    <row r="18" spans="6:19" ht="12.75">
      <c r="F18" s="46" t="s">
        <v>186</v>
      </c>
      <c r="G18" s="47" t="str">
        <f>calculoE!F53</f>
        <v>가나</v>
      </c>
      <c r="H18" s="24">
        <f>calculoE!G53</f>
        <v>0</v>
      </c>
      <c r="I18" s="24">
        <f>calculoE!H53</f>
        <v>0</v>
      </c>
      <c r="J18" s="24">
        <f>calculoE!I53</f>
        <v>0</v>
      </c>
      <c r="K18" s="24">
        <f>calculoE!J53</f>
        <v>0</v>
      </c>
      <c r="L18" s="24">
        <f>calculoE!K53</f>
        <v>0</v>
      </c>
      <c r="M18" s="24">
        <f>calculoE!L53</f>
        <v>0</v>
      </c>
      <c r="N18" s="24">
        <f>L18-M18</f>
        <v>0</v>
      </c>
      <c r="O18" s="24">
        <f>calculoE!M53</f>
        <v>0</v>
      </c>
      <c r="P18" s="48"/>
      <c r="Q18" s="49"/>
      <c r="R18" s="50"/>
      <c r="S18" s="49"/>
    </row>
    <row r="19" spans="6:19" ht="12.75">
      <c r="F19" s="49"/>
      <c r="G19" s="47" t="str">
        <f>calculoE!F54</f>
        <v>미국</v>
      </c>
      <c r="H19" s="24">
        <f>calculoE!G54</f>
        <v>0</v>
      </c>
      <c r="I19" s="24">
        <f>calculoE!H54</f>
        <v>0</v>
      </c>
      <c r="J19" s="24">
        <f>calculoE!I54</f>
        <v>0</v>
      </c>
      <c r="K19" s="24">
        <f>calculoE!J54</f>
        <v>0</v>
      </c>
      <c r="L19" s="24">
        <f>calculoE!K54</f>
        <v>0</v>
      </c>
      <c r="M19" s="24">
        <f>calculoE!L54</f>
        <v>0</v>
      </c>
      <c r="N19" s="24">
        <f>L19-M19</f>
        <v>0</v>
      </c>
      <c r="O19" s="24">
        <f>calculoE!M54</f>
        <v>0</v>
      </c>
      <c r="P19" s="51"/>
      <c r="Q19" s="49"/>
      <c r="R19" s="50"/>
      <c r="S19" s="49"/>
    </row>
    <row r="20" spans="6:19" ht="12.75">
      <c r="F20" s="49"/>
      <c r="G20" s="47" t="str">
        <f>calculoE!F55</f>
        <v>체코</v>
      </c>
      <c r="H20" s="24">
        <f>calculoE!G55</f>
        <v>0</v>
      </c>
      <c r="I20" s="24">
        <f>calculoE!H55</f>
        <v>0</v>
      </c>
      <c r="J20" s="24">
        <f>calculoE!I55</f>
        <v>0</v>
      </c>
      <c r="K20" s="24">
        <f>calculoE!J55</f>
        <v>0</v>
      </c>
      <c r="L20" s="24">
        <f>calculoE!K55</f>
        <v>0</v>
      </c>
      <c r="M20" s="24">
        <f>calculoE!L55</f>
        <v>0</v>
      </c>
      <c r="N20" s="24">
        <f>L20-M20</f>
        <v>0</v>
      </c>
      <c r="O20" s="24">
        <f>calculoE!M55</f>
        <v>0</v>
      </c>
      <c r="P20" s="51"/>
      <c r="Q20" s="51"/>
      <c r="R20" s="52"/>
      <c r="S20" s="51"/>
    </row>
    <row r="21" spans="14:19" ht="12.75">
      <c r="N21" s="53"/>
      <c r="O21" s="53"/>
      <c r="P21" s="53"/>
      <c r="Q21" s="53"/>
      <c r="R21" s="54"/>
      <c r="S21" s="53"/>
    </row>
    <row r="22" spans="14:19" ht="11.25" customHeight="1">
      <c r="N22" s="53"/>
      <c r="O22" s="53"/>
      <c r="P22" s="53"/>
      <c r="Q22" s="53"/>
      <c r="R22" s="54"/>
      <c r="S22" s="53"/>
    </row>
    <row r="23" spans="14:19" ht="9" customHeight="1">
      <c r="N23" s="53"/>
      <c r="O23" s="53"/>
      <c r="P23" s="53"/>
      <c r="R23" s="55"/>
      <c r="S23" s="53"/>
    </row>
    <row r="24" spans="2:19" ht="12.75">
      <c r="B24" s="56"/>
      <c r="C24" s="57"/>
      <c r="N24" s="58"/>
      <c r="O24" s="58"/>
      <c r="P24" s="171" t="s">
        <v>120</v>
      </c>
      <c r="Q24" s="169">
        <f ca="1">TODAY()</f>
        <v>38864</v>
      </c>
      <c r="R24" s="170">
        <f ca="1">NOW()</f>
        <v>38864.779269907405</v>
      </c>
      <c r="S24" s="59"/>
    </row>
    <row r="25" spans="1:20" ht="12.75" hidden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2">
        <f>HOUR(R24)</f>
        <v>18</v>
      </c>
      <c r="R25" s="62">
        <f>MINUTE(R24)</f>
        <v>42</v>
      </c>
      <c r="S25" s="63"/>
      <c r="T25" s="60"/>
    </row>
    <row r="26" spans="2:20" ht="12.75" hidden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0"/>
      <c r="Q26" s="62"/>
      <c r="R26" s="64">
        <f>TIME(Q25,R25,0)</f>
        <v>0.7791666666666667</v>
      </c>
      <c r="S26" s="63"/>
      <c r="T26" s="60"/>
    </row>
    <row r="27" spans="14:19" ht="12.75">
      <c r="N27" s="53"/>
      <c r="O27" s="53"/>
      <c r="P27" s="53"/>
      <c r="Q27" s="59"/>
      <c r="R27" s="59"/>
      <c r="S27" s="59"/>
    </row>
    <row r="28" spans="14:19" ht="12.75">
      <c r="N28" s="53"/>
      <c r="O28" s="53"/>
      <c r="P28" s="53"/>
      <c r="Q28" s="216" t="s">
        <v>177</v>
      </c>
      <c r="R28" s="216" t="s">
        <v>2</v>
      </c>
      <c r="S28" s="59"/>
    </row>
    <row r="29" spans="14:19" ht="12.75">
      <c r="N29" s="53"/>
      <c r="O29" s="53"/>
      <c r="P29" s="53"/>
      <c r="Q29" s="59"/>
      <c r="R29" s="59"/>
      <c r="S29" s="59"/>
    </row>
  </sheetData>
  <sheetProtection password="F52A" sheet="1" objects="1" scenarios="1"/>
  <mergeCells count="30">
    <mergeCell ref="Q11:R11"/>
    <mergeCell ref="Q13:R13"/>
    <mergeCell ref="G15:O15"/>
    <mergeCell ref="Q28:R28"/>
    <mergeCell ref="H10:I10"/>
    <mergeCell ref="J10:K10"/>
    <mergeCell ref="L10:M10"/>
    <mergeCell ref="H11:I11"/>
    <mergeCell ref="J11:K11"/>
    <mergeCell ref="L11:M11"/>
    <mergeCell ref="H9:I9"/>
    <mergeCell ref="J9:K9"/>
    <mergeCell ref="L9:M9"/>
    <mergeCell ref="Q9:R9"/>
    <mergeCell ref="Q7:R7"/>
    <mergeCell ref="H8:I8"/>
    <mergeCell ref="J8:K8"/>
    <mergeCell ref="L8:M8"/>
    <mergeCell ref="H6:I6"/>
    <mergeCell ref="J6:K6"/>
    <mergeCell ref="L6:M6"/>
    <mergeCell ref="H7:I7"/>
    <mergeCell ref="J7:K7"/>
    <mergeCell ref="L7:M7"/>
    <mergeCell ref="A1:S2"/>
    <mergeCell ref="B4:M4"/>
    <mergeCell ref="P4:S5"/>
    <mergeCell ref="H5:I5"/>
    <mergeCell ref="J5:K5"/>
    <mergeCell ref="L5:M5"/>
  </mergeCells>
  <conditionalFormatting sqref="F17:F18">
    <cfRule type="expression" priority="1" dxfId="0" stopIfTrue="1">
      <formula>IF(AND($H$17=3,$H$18=3,$H$19=3,$H$20=3),1,0)</formula>
    </cfRule>
  </conditionalFormatting>
  <conditionalFormatting sqref="G17:O18">
    <cfRule type="expression" priority="2" dxfId="1" stopIfTrue="1">
      <formula>IF(AND($H$17=3,$H$18=3,$H$19=3,$H$20=3),1,0)</formula>
    </cfRule>
  </conditionalFormatting>
  <conditionalFormatting sqref="B7:G7 J7:K7">
    <cfRule type="expression" priority="3" dxfId="1" stopIfTrue="1">
      <formula>IF(OR($L$7="en juego",$L$7="hoy!"),1,0)</formula>
    </cfRule>
  </conditionalFormatting>
  <conditionalFormatting sqref="L6:M11 B6:G6 H6:I7 J6:K6">
    <cfRule type="expression" priority="4" dxfId="1" stopIfTrue="1">
      <formula>IF(OR($L$6="en juego",$L$6="hoy!"),1,0)</formula>
    </cfRule>
  </conditionalFormatting>
  <conditionalFormatting sqref="B8:G8 H8:I9 J8:K8">
    <cfRule type="expression" priority="5" dxfId="1" stopIfTrue="1">
      <formula>IF(OR($L$8="en juego",$L$8="hoy!"),1,0)</formula>
    </cfRule>
  </conditionalFormatting>
  <conditionalFormatting sqref="B9:G9 J9:K9">
    <cfRule type="expression" priority="6" dxfId="1" stopIfTrue="1">
      <formula>IF(OR($L$9="en juego",$L$9="hoy!"),1,0)</formula>
    </cfRule>
  </conditionalFormatting>
  <conditionalFormatting sqref="B10:G10 H10:K11">
    <cfRule type="expression" priority="7" dxfId="1" stopIfTrue="1">
      <formula>IF(OR($L$10="en juego",$L$10="hoy!"),1,0)</formula>
    </cfRule>
  </conditionalFormatting>
  <conditionalFormatting sqref="B11:G11">
    <cfRule type="expression" priority="8" dxfId="1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" location="Portada!A1" display="Menu Principal"/>
    <hyperlink ref="R28" location="Portada!A1" display="#Portada.A1"/>
    <hyperlink ref="Q28:R28" location="Menu!A1" display="Menu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>
    <tabColor indexed="17"/>
    <pageSetUpPr fitToPage="1"/>
  </sheetPr>
  <dimension ref="A1:T29"/>
  <sheetViews>
    <sheetView showGridLines="0" showRowColHeaders="0" showOutlineSymbols="0" workbookViewId="0" topLeftCell="A1">
      <selection activeCell="Z47" sqref="Z47"/>
    </sheetView>
  </sheetViews>
  <sheetFormatPr defaultColWidth="9.140625" defaultRowHeight="12.75"/>
  <cols>
    <col min="1" max="1" width="2.7109375" style="12" customWidth="1"/>
    <col min="2" max="2" width="14.28125" style="12" customWidth="1"/>
    <col min="3" max="3" width="3.28125" style="12" customWidth="1"/>
    <col min="4" max="4" width="1.7109375" style="12" customWidth="1"/>
    <col min="5" max="5" width="3.421875" style="12" customWidth="1"/>
    <col min="6" max="6" width="14.28125" style="12" customWidth="1"/>
    <col min="7" max="7" width="14.7109375" style="12" customWidth="1"/>
    <col min="8" max="12" width="3.7109375" style="12" customWidth="1"/>
    <col min="13" max="14" width="3.8515625" style="12" customWidth="1"/>
    <col min="15" max="15" width="4.7109375" style="12" customWidth="1"/>
    <col min="16" max="16" width="5.7109375" style="12" customWidth="1"/>
    <col min="17" max="18" width="7.7109375" style="12" customWidth="1"/>
    <col min="19" max="19" width="5.7109375" style="12" customWidth="1"/>
    <col min="20" max="20" width="7.7109375" style="12" customWidth="1"/>
    <col min="21" max="16384" width="11.421875" style="12" customWidth="1"/>
  </cols>
  <sheetData>
    <row r="1" spans="1:20" s="14" customFormat="1" ht="34.5" customHeight="1">
      <c r="A1" s="205" t="s">
        <v>66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13"/>
    </row>
    <row r="2" spans="1:20" s="14" customFormat="1" ht="34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5"/>
    </row>
    <row r="3" spans="7:18" ht="21" customHeight="1">
      <c r="G3" s="16"/>
      <c r="L3" s="17"/>
      <c r="M3" s="18"/>
      <c r="R3" s="16"/>
    </row>
    <row r="4" spans="2:19" ht="12.75" customHeight="1">
      <c r="B4" s="206" t="s">
        <v>78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P4" s="217" t="s">
        <v>72</v>
      </c>
      <c r="Q4" s="217"/>
      <c r="R4" s="217"/>
      <c r="S4" s="217"/>
    </row>
    <row r="5" spans="2:19" ht="12.75" customHeight="1">
      <c r="B5" s="19"/>
      <c r="C5" s="19"/>
      <c r="D5" s="19"/>
      <c r="E5" s="19"/>
      <c r="F5" s="19"/>
      <c r="G5" s="175" t="s">
        <v>123</v>
      </c>
      <c r="H5" s="209" t="s">
        <v>124</v>
      </c>
      <c r="I5" s="209"/>
      <c r="J5" s="210" t="s">
        <v>193</v>
      </c>
      <c r="K5" s="210"/>
      <c r="L5" s="210" t="s">
        <v>125</v>
      </c>
      <c r="M5" s="210"/>
      <c r="P5" s="217"/>
      <c r="Q5" s="217"/>
      <c r="R5" s="217"/>
      <c r="S5" s="217"/>
    </row>
    <row r="6" spans="1:18" ht="14.25" customHeight="1">
      <c r="A6" s="20">
        <f aca="true" t="shared" si="0" ref="A6:A11">IF(OR(L6="finalizado",L6="en juego",L6="hoy!"),"Ø","")</f>
      </c>
      <c r="B6" s="21" t="str">
        <f>Q7</f>
        <v>브라질</v>
      </c>
      <c r="C6" s="22"/>
      <c r="D6" s="23" t="s">
        <v>3</v>
      </c>
      <c r="E6" s="22"/>
      <c r="F6" s="24" t="str">
        <f>Q9</f>
        <v>크로아티아</v>
      </c>
      <c r="G6" s="25" t="s">
        <v>14</v>
      </c>
      <c r="H6" s="211">
        <v>38882</v>
      </c>
      <c r="I6" s="211"/>
      <c r="J6" s="212">
        <v>0.16666666666666666</v>
      </c>
      <c r="K6" s="212"/>
      <c r="L6" s="213">
        <f aca="true" t="shared" si="1" ref="L6:L11">IF(OR(H6="",J6="",H6&lt;$Q$24),"",IF(H6=$Q$24,IF(AND(J6&lt;=$R$26,$R$26&lt;=(J6+0.08333333333)),"진행중",IF($R$26&lt;J6,"오늘!","종료")),IF($Q$24&gt;H6,"종료","")))</f>
      </c>
      <c r="M6" s="213"/>
      <c r="R6" s="16"/>
    </row>
    <row r="7" spans="1:19" ht="14.25" customHeight="1">
      <c r="A7" s="20">
        <f t="shared" si="0"/>
      </c>
      <c r="B7" s="21" t="str">
        <f>Q11</f>
        <v>호주</v>
      </c>
      <c r="C7" s="22"/>
      <c r="D7" s="23" t="s">
        <v>3</v>
      </c>
      <c r="E7" s="22"/>
      <c r="F7" s="24" t="str">
        <f>Q13</f>
        <v>일본</v>
      </c>
      <c r="G7" s="25" t="s">
        <v>185</v>
      </c>
      <c r="H7" s="211">
        <v>38880</v>
      </c>
      <c r="I7" s="211"/>
      <c r="J7" s="212">
        <v>0.9166666666666666</v>
      </c>
      <c r="K7" s="212"/>
      <c r="L7" s="213">
        <f t="shared" si="1"/>
      </c>
      <c r="M7" s="213"/>
      <c r="N7" s="26"/>
      <c r="O7" s="27"/>
      <c r="P7" s="28"/>
      <c r="Q7" s="214" t="s">
        <v>107</v>
      </c>
      <c r="R7" s="215"/>
      <c r="S7" s="28"/>
    </row>
    <row r="8" spans="1:19" ht="14.25" customHeight="1">
      <c r="A8" s="20">
        <f t="shared" si="0"/>
      </c>
      <c r="B8" s="21" t="str">
        <f>Q7</f>
        <v>브라질</v>
      </c>
      <c r="C8" s="22"/>
      <c r="D8" s="23" t="s">
        <v>3</v>
      </c>
      <c r="E8" s="22"/>
      <c r="F8" s="24" t="str">
        <f>Q11</f>
        <v>호주</v>
      </c>
      <c r="G8" s="25" t="s">
        <v>4</v>
      </c>
      <c r="H8" s="211">
        <v>38887</v>
      </c>
      <c r="I8" s="211"/>
      <c r="J8" s="212">
        <v>0.041666666666666664</v>
      </c>
      <c r="K8" s="212"/>
      <c r="L8" s="213">
        <f t="shared" si="1"/>
      </c>
      <c r="M8" s="213"/>
      <c r="N8" s="29"/>
      <c r="O8" s="30"/>
      <c r="P8" s="31"/>
      <c r="Q8" s="32"/>
      <c r="R8" s="33"/>
      <c r="S8" s="31"/>
    </row>
    <row r="9" spans="1:19" ht="14.25" customHeight="1">
      <c r="A9" s="20">
        <f t="shared" si="0"/>
      </c>
      <c r="B9" s="21" t="str">
        <f>Q13</f>
        <v>일본</v>
      </c>
      <c r="C9" s="22"/>
      <c r="D9" s="23" t="s">
        <v>3</v>
      </c>
      <c r="E9" s="22"/>
      <c r="F9" s="24" t="str">
        <f>Q9</f>
        <v>크로아티아</v>
      </c>
      <c r="G9" s="25" t="s">
        <v>11</v>
      </c>
      <c r="H9" s="211">
        <v>38886</v>
      </c>
      <c r="I9" s="211"/>
      <c r="J9" s="212">
        <v>0.9166666666666666</v>
      </c>
      <c r="K9" s="212"/>
      <c r="L9" s="213">
        <f t="shared" si="1"/>
      </c>
      <c r="M9" s="213"/>
      <c r="P9" s="28"/>
      <c r="Q9" s="214" t="s">
        <v>108</v>
      </c>
      <c r="R9" s="215"/>
      <c r="S9" s="28"/>
    </row>
    <row r="10" spans="1:19" ht="14.25" customHeight="1">
      <c r="A10" s="20">
        <f t="shared" si="0"/>
      </c>
      <c r="B10" s="21" t="str">
        <f>Q13</f>
        <v>일본</v>
      </c>
      <c r="C10" s="22"/>
      <c r="D10" s="23" t="s">
        <v>3</v>
      </c>
      <c r="E10" s="22"/>
      <c r="F10" s="24" t="str">
        <f>Q7</f>
        <v>브라질</v>
      </c>
      <c r="G10" s="25" t="s">
        <v>6</v>
      </c>
      <c r="H10" s="211">
        <v>38891</v>
      </c>
      <c r="I10" s="211"/>
      <c r="J10" s="212">
        <v>0.16666666666666666</v>
      </c>
      <c r="K10" s="212"/>
      <c r="L10" s="213">
        <f t="shared" si="1"/>
      </c>
      <c r="M10" s="213"/>
      <c r="P10" s="31"/>
      <c r="Q10" s="32"/>
      <c r="R10" s="33"/>
      <c r="S10" s="31"/>
    </row>
    <row r="11" spans="1:19" ht="14.25" customHeight="1">
      <c r="A11" s="20">
        <f t="shared" si="0"/>
      </c>
      <c r="B11" s="21" t="str">
        <f>Q9</f>
        <v>크로아티아</v>
      </c>
      <c r="C11" s="22"/>
      <c r="D11" s="23" t="s">
        <v>3</v>
      </c>
      <c r="E11" s="22"/>
      <c r="F11" s="24" t="str">
        <f>Q11</f>
        <v>호주</v>
      </c>
      <c r="G11" s="25" t="s">
        <v>13</v>
      </c>
      <c r="H11" s="211">
        <v>38891</v>
      </c>
      <c r="I11" s="211"/>
      <c r="J11" s="212">
        <v>0.16666666666666666</v>
      </c>
      <c r="K11" s="212"/>
      <c r="L11" s="213">
        <f t="shared" si="1"/>
      </c>
      <c r="M11" s="213"/>
      <c r="P11" s="28"/>
      <c r="Q11" s="214" t="s">
        <v>109</v>
      </c>
      <c r="R11" s="215"/>
      <c r="S11" s="28"/>
    </row>
    <row r="12" spans="2:19" ht="13.5" customHeight="1">
      <c r="B12" s="34"/>
      <c r="C12" s="35"/>
      <c r="D12" s="36"/>
      <c r="E12" s="35"/>
      <c r="F12" s="19"/>
      <c r="G12" s="37"/>
      <c r="H12" s="36"/>
      <c r="I12" s="38"/>
      <c r="J12" s="17"/>
      <c r="K12" s="39"/>
      <c r="L12" s="40"/>
      <c r="M12" s="40"/>
      <c r="P12" s="31"/>
      <c r="Q12" s="32"/>
      <c r="R12" s="33"/>
      <c r="S12" s="31"/>
    </row>
    <row r="13" spans="2:19" ht="13.5" customHeight="1">
      <c r="B13" s="34"/>
      <c r="C13" s="35"/>
      <c r="D13" s="36"/>
      <c r="E13" s="35"/>
      <c r="F13" s="19"/>
      <c r="G13" s="37"/>
      <c r="H13" s="36"/>
      <c r="I13" s="36"/>
      <c r="J13" s="17"/>
      <c r="K13" s="41"/>
      <c r="L13" s="40"/>
      <c r="M13" s="40"/>
      <c r="P13" s="28"/>
      <c r="Q13" s="214" t="s">
        <v>110</v>
      </c>
      <c r="R13" s="215"/>
      <c r="S13" s="28"/>
    </row>
    <row r="14" spans="2:18" ht="13.5" customHeight="1">
      <c r="B14" s="34"/>
      <c r="C14" s="35"/>
      <c r="D14" s="36"/>
      <c r="E14" s="35"/>
      <c r="F14" s="19"/>
      <c r="G14" s="37"/>
      <c r="H14" s="36"/>
      <c r="I14" s="36"/>
      <c r="J14" s="17"/>
      <c r="K14" s="41"/>
      <c r="L14" s="40"/>
      <c r="M14" s="40"/>
      <c r="Q14" s="43"/>
      <c r="R14" s="65"/>
    </row>
    <row r="15" spans="7:18" ht="12.75">
      <c r="G15" s="206" t="s">
        <v>79</v>
      </c>
      <c r="H15" s="207"/>
      <c r="I15" s="207"/>
      <c r="J15" s="207"/>
      <c r="K15" s="207"/>
      <c r="L15" s="207"/>
      <c r="M15" s="207"/>
      <c r="N15" s="207"/>
      <c r="O15" s="207"/>
      <c r="R15" s="16"/>
    </row>
    <row r="16" spans="7:18" ht="12.75">
      <c r="G16" s="45"/>
      <c r="H16" s="167" t="s">
        <v>87</v>
      </c>
      <c r="I16" s="167" t="s">
        <v>80</v>
      </c>
      <c r="J16" s="167" t="s">
        <v>81</v>
      </c>
      <c r="K16" s="167" t="s">
        <v>82</v>
      </c>
      <c r="L16" s="167" t="s">
        <v>83</v>
      </c>
      <c r="M16" s="167" t="s">
        <v>84</v>
      </c>
      <c r="N16" s="167" t="s">
        <v>85</v>
      </c>
      <c r="O16" s="167" t="s">
        <v>86</v>
      </c>
      <c r="R16" s="16"/>
    </row>
    <row r="17" spans="6:19" ht="12.75">
      <c r="F17" s="46" t="s">
        <v>186</v>
      </c>
      <c r="G17" s="47" t="str">
        <f>calculoF!F52</f>
        <v>브라질</v>
      </c>
      <c r="H17" s="24">
        <f>calculoF!G52</f>
        <v>0</v>
      </c>
      <c r="I17" s="24">
        <f>calculoF!H52</f>
        <v>0</v>
      </c>
      <c r="J17" s="24">
        <f>calculoF!I52</f>
        <v>0</v>
      </c>
      <c r="K17" s="24">
        <f>calculoF!J52</f>
        <v>0</v>
      </c>
      <c r="L17" s="24">
        <f>calculoF!K52</f>
        <v>0</v>
      </c>
      <c r="M17" s="24">
        <f>calculoF!L52</f>
        <v>0</v>
      </c>
      <c r="N17" s="24">
        <f>L17-M17</f>
        <v>0</v>
      </c>
      <c r="O17" s="24">
        <f>calculoF!M52</f>
        <v>0</v>
      </c>
      <c r="P17" s="48"/>
      <c r="Q17" s="49"/>
      <c r="R17" s="50"/>
      <c r="S17" s="49"/>
    </row>
    <row r="18" spans="6:19" ht="12.75">
      <c r="F18" s="46" t="s">
        <v>186</v>
      </c>
      <c r="G18" s="47" t="str">
        <f>calculoF!F53</f>
        <v>크로아티아</v>
      </c>
      <c r="H18" s="24">
        <f>calculoF!G53</f>
        <v>0</v>
      </c>
      <c r="I18" s="24">
        <f>calculoF!H53</f>
        <v>0</v>
      </c>
      <c r="J18" s="24">
        <f>calculoF!I53</f>
        <v>0</v>
      </c>
      <c r="K18" s="24">
        <f>calculoF!J53</f>
        <v>0</v>
      </c>
      <c r="L18" s="24">
        <f>calculoF!K53</f>
        <v>0</v>
      </c>
      <c r="M18" s="24">
        <f>calculoF!L53</f>
        <v>0</v>
      </c>
      <c r="N18" s="24">
        <f>L18-M18</f>
        <v>0</v>
      </c>
      <c r="O18" s="24">
        <f>calculoF!M53</f>
        <v>0</v>
      </c>
      <c r="P18" s="48"/>
      <c r="Q18" s="49"/>
      <c r="R18" s="50"/>
      <c r="S18" s="49"/>
    </row>
    <row r="19" spans="6:19" ht="12.75">
      <c r="F19" s="49"/>
      <c r="G19" s="47" t="str">
        <f>calculoF!F54</f>
        <v>호주</v>
      </c>
      <c r="H19" s="24">
        <f>calculoF!G54</f>
        <v>0</v>
      </c>
      <c r="I19" s="24">
        <f>calculoF!H54</f>
        <v>0</v>
      </c>
      <c r="J19" s="24">
        <f>calculoF!I54</f>
        <v>0</v>
      </c>
      <c r="K19" s="24">
        <f>calculoF!J54</f>
        <v>0</v>
      </c>
      <c r="L19" s="24">
        <f>calculoF!K54</f>
        <v>0</v>
      </c>
      <c r="M19" s="24">
        <f>calculoF!L54</f>
        <v>0</v>
      </c>
      <c r="N19" s="24">
        <f>L19-M19</f>
        <v>0</v>
      </c>
      <c r="O19" s="24">
        <f>calculoF!M54</f>
        <v>0</v>
      </c>
      <c r="P19" s="51"/>
      <c r="Q19" s="49"/>
      <c r="R19" s="50"/>
      <c r="S19" s="49"/>
    </row>
    <row r="20" spans="6:19" ht="12.75">
      <c r="F20" s="49"/>
      <c r="G20" s="47" t="str">
        <f>calculoF!F55</f>
        <v>일본</v>
      </c>
      <c r="H20" s="24">
        <f>calculoF!G55</f>
        <v>0</v>
      </c>
      <c r="I20" s="24">
        <f>calculoF!H55</f>
        <v>0</v>
      </c>
      <c r="J20" s="24">
        <f>calculoF!I55</f>
        <v>0</v>
      </c>
      <c r="K20" s="24">
        <f>calculoF!J55</f>
        <v>0</v>
      </c>
      <c r="L20" s="24">
        <f>calculoF!K55</f>
        <v>0</v>
      </c>
      <c r="M20" s="24">
        <f>calculoF!L55</f>
        <v>0</v>
      </c>
      <c r="N20" s="24">
        <f>L20-M20</f>
        <v>0</v>
      </c>
      <c r="O20" s="24">
        <f>calculoF!M55</f>
        <v>0</v>
      </c>
      <c r="P20" s="51"/>
      <c r="Q20" s="51"/>
      <c r="R20" s="52"/>
      <c r="S20" s="51"/>
    </row>
    <row r="21" spans="14:19" ht="12.75">
      <c r="N21" s="53"/>
      <c r="O21" s="53"/>
      <c r="P21" s="53"/>
      <c r="Q21" s="53"/>
      <c r="R21" s="54"/>
      <c r="S21" s="53"/>
    </row>
    <row r="22" spans="14:19" ht="11.25" customHeight="1">
      <c r="N22" s="53"/>
      <c r="O22" s="53"/>
      <c r="P22" s="53"/>
      <c r="Q22" s="53"/>
      <c r="R22" s="54"/>
      <c r="S22" s="53"/>
    </row>
    <row r="23" spans="14:19" ht="9" customHeight="1">
      <c r="N23" s="53"/>
      <c r="O23" s="53"/>
      <c r="P23" s="53"/>
      <c r="R23" s="55"/>
      <c r="S23" s="53"/>
    </row>
    <row r="24" spans="2:19" ht="12.75">
      <c r="B24" s="56"/>
      <c r="C24" s="57"/>
      <c r="N24" s="58"/>
      <c r="O24" s="58"/>
      <c r="P24" s="171" t="s">
        <v>120</v>
      </c>
      <c r="Q24" s="169">
        <f ca="1">TODAY()</f>
        <v>38864</v>
      </c>
      <c r="R24" s="170">
        <f ca="1">NOW()</f>
        <v>38864.779269907405</v>
      </c>
      <c r="S24" s="59"/>
    </row>
    <row r="25" spans="1:20" ht="12.75" hidden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2">
        <f>HOUR(R24)</f>
        <v>18</v>
      </c>
      <c r="R25" s="62">
        <f>MINUTE(R24)</f>
        <v>42</v>
      </c>
      <c r="S25" s="63"/>
      <c r="T25" s="60"/>
    </row>
    <row r="26" spans="2:20" ht="12.75" hidden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0"/>
      <c r="Q26" s="62"/>
      <c r="R26" s="64">
        <f>TIME(Q25,R25,0)</f>
        <v>0.7791666666666667</v>
      </c>
      <c r="S26" s="63"/>
      <c r="T26" s="60"/>
    </row>
    <row r="27" spans="14:19" ht="12.75">
      <c r="N27" s="53"/>
      <c r="O27" s="53"/>
      <c r="P27" s="53"/>
      <c r="Q27" s="59"/>
      <c r="R27" s="59"/>
      <c r="S27" s="59"/>
    </row>
    <row r="28" spans="14:19" ht="12.75">
      <c r="N28" s="53"/>
      <c r="O28" s="53"/>
      <c r="P28" s="53"/>
      <c r="Q28" s="216" t="s">
        <v>177</v>
      </c>
      <c r="R28" s="216" t="s">
        <v>2</v>
      </c>
      <c r="S28" s="59"/>
    </row>
    <row r="29" spans="14:19" ht="12.75">
      <c r="N29" s="53"/>
      <c r="O29" s="53"/>
      <c r="P29" s="53"/>
      <c r="Q29" s="59"/>
      <c r="R29" s="59"/>
      <c r="S29" s="59"/>
    </row>
  </sheetData>
  <sheetProtection password="F52A" sheet="1" objects="1" scenarios="1"/>
  <mergeCells count="30">
    <mergeCell ref="Q11:R11"/>
    <mergeCell ref="Q13:R13"/>
    <mergeCell ref="G15:O15"/>
    <mergeCell ref="Q28:R28"/>
    <mergeCell ref="H10:I10"/>
    <mergeCell ref="J10:K10"/>
    <mergeCell ref="L10:M10"/>
    <mergeCell ref="H11:I11"/>
    <mergeCell ref="J11:K11"/>
    <mergeCell ref="L11:M11"/>
    <mergeCell ref="H9:I9"/>
    <mergeCell ref="J9:K9"/>
    <mergeCell ref="L9:M9"/>
    <mergeCell ref="Q9:R9"/>
    <mergeCell ref="Q7:R7"/>
    <mergeCell ref="H8:I8"/>
    <mergeCell ref="J8:K8"/>
    <mergeCell ref="L8:M8"/>
    <mergeCell ref="H6:I6"/>
    <mergeCell ref="J6:K6"/>
    <mergeCell ref="L6:M6"/>
    <mergeCell ref="H7:I7"/>
    <mergeCell ref="J7:K7"/>
    <mergeCell ref="L7:M7"/>
    <mergeCell ref="A1:S2"/>
    <mergeCell ref="B4:M4"/>
    <mergeCell ref="P4:S5"/>
    <mergeCell ref="H5:I5"/>
    <mergeCell ref="J5:K5"/>
    <mergeCell ref="L5:M5"/>
  </mergeCells>
  <conditionalFormatting sqref="F17:F18">
    <cfRule type="expression" priority="1" dxfId="0" stopIfTrue="1">
      <formula>IF(AND($H$17=3,$H$18=3,$H$19=3,$H$20=3),1,0)</formula>
    </cfRule>
  </conditionalFormatting>
  <conditionalFormatting sqref="G17:O18">
    <cfRule type="expression" priority="2" dxfId="1" stopIfTrue="1">
      <formula>IF(AND($H$17=3,$H$18=3,$H$19=3,$H$20=3),1,0)</formula>
    </cfRule>
  </conditionalFormatting>
  <conditionalFormatting sqref="B7:I7 J7:K8">
    <cfRule type="expression" priority="3" dxfId="1" stopIfTrue="1">
      <formula>IF(OR($L$7="en juego",$L$7="hoy!"),1,0)</formula>
    </cfRule>
  </conditionalFormatting>
  <conditionalFormatting sqref="L6:M11 B6:K6 J10:K11">
    <cfRule type="expression" priority="4" dxfId="1" stopIfTrue="1">
      <formula>IF(OR($L$6="en juego",$L$6="hoy!"),1,0)</formula>
    </cfRule>
  </conditionalFormatting>
  <conditionalFormatting sqref="B8:G8 H8:I9">
    <cfRule type="expression" priority="5" dxfId="1" stopIfTrue="1">
      <formula>IF(OR($L$8="en juego",$L$8="hoy!"),1,0)</formula>
    </cfRule>
  </conditionalFormatting>
  <conditionalFormatting sqref="B9:G9 J9:K9">
    <cfRule type="expression" priority="6" dxfId="1" stopIfTrue="1">
      <formula>IF(OR($L$9="en juego",$L$9="hoy!"),1,0)</formula>
    </cfRule>
  </conditionalFormatting>
  <conditionalFormatting sqref="B10:G10 H10:I11">
    <cfRule type="expression" priority="7" dxfId="1" stopIfTrue="1">
      <formula>IF(OR($L$10="en juego",$L$10="hoy!"),1,0)</formula>
    </cfRule>
  </conditionalFormatting>
  <conditionalFormatting sqref="B11:G11">
    <cfRule type="expression" priority="8" dxfId="1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" location="Portada!A1" display="Menu Principal"/>
    <hyperlink ref="R28" location="Portada!A1" display="#Portada.A1"/>
    <hyperlink ref="Q28:R28" location="Menu!A1" display="Menu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tabColor indexed="17"/>
    <pageSetUpPr fitToPage="1"/>
  </sheetPr>
  <dimension ref="A1:T29"/>
  <sheetViews>
    <sheetView showGridLines="0" showRowColHeaders="0" showOutlineSymbols="0" workbookViewId="0" topLeftCell="A1">
      <selection activeCell="Z47" sqref="Z47"/>
    </sheetView>
  </sheetViews>
  <sheetFormatPr defaultColWidth="9.140625" defaultRowHeight="12.75"/>
  <cols>
    <col min="1" max="1" width="2.7109375" style="12" customWidth="1"/>
    <col min="2" max="2" width="14.28125" style="12" customWidth="1"/>
    <col min="3" max="3" width="3.28125" style="12" customWidth="1"/>
    <col min="4" max="4" width="1.7109375" style="12" customWidth="1"/>
    <col min="5" max="5" width="3.421875" style="12" customWidth="1"/>
    <col min="6" max="6" width="14.28125" style="12" customWidth="1"/>
    <col min="7" max="7" width="14.7109375" style="12" customWidth="1"/>
    <col min="8" max="12" width="3.7109375" style="12" customWidth="1"/>
    <col min="13" max="14" width="3.8515625" style="12" customWidth="1"/>
    <col min="15" max="15" width="4.7109375" style="12" customWidth="1"/>
    <col min="16" max="16" width="5.7109375" style="12" customWidth="1"/>
    <col min="17" max="18" width="7.7109375" style="12" customWidth="1"/>
    <col min="19" max="19" width="5.7109375" style="12" customWidth="1"/>
    <col min="20" max="20" width="7.7109375" style="12" customWidth="1"/>
    <col min="21" max="16384" width="11.421875" style="12" customWidth="1"/>
  </cols>
  <sheetData>
    <row r="1" spans="1:20" s="14" customFormat="1" ht="34.5" customHeight="1">
      <c r="A1" s="205" t="s">
        <v>66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13"/>
    </row>
    <row r="2" spans="1:20" s="14" customFormat="1" ht="34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5"/>
    </row>
    <row r="3" spans="7:18" ht="21" customHeight="1">
      <c r="G3" s="16"/>
      <c r="L3" s="17"/>
      <c r="M3" s="18"/>
      <c r="R3" s="16"/>
    </row>
    <row r="4" spans="2:19" ht="12.75" customHeight="1">
      <c r="B4" s="206" t="s">
        <v>78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P4" s="217" t="s">
        <v>73</v>
      </c>
      <c r="Q4" s="217"/>
      <c r="R4" s="217"/>
      <c r="S4" s="217"/>
    </row>
    <row r="5" spans="2:19" ht="12.75" customHeight="1">
      <c r="B5" s="19"/>
      <c r="C5" s="19"/>
      <c r="D5" s="19"/>
      <c r="E5" s="19"/>
      <c r="F5" s="19"/>
      <c r="G5" s="175" t="s">
        <v>123</v>
      </c>
      <c r="H5" s="209" t="s">
        <v>124</v>
      </c>
      <c r="I5" s="209"/>
      <c r="J5" s="210" t="s">
        <v>193</v>
      </c>
      <c r="K5" s="210"/>
      <c r="L5" s="210" t="s">
        <v>125</v>
      </c>
      <c r="M5" s="210"/>
      <c r="P5" s="217"/>
      <c r="Q5" s="217"/>
      <c r="R5" s="217"/>
      <c r="S5" s="217"/>
    </row>
    <row r="6" spans="1:18" ht="14.25" customHeight="1">
      <c r="A6" s="20">
        <f aca="true" t="shared" si="0" ref="A6:A11">IF(OR(L6="finalizado",L6="en juego",L6="hoy!"),"Ø","")</f>
      </c>
      <c r="B6" s="21" t="str">
        <f>Q7</f>
        <v>프랑스</v>
      </c>
      <c r="C6" s="22"/>
      <c r="D6" s="23" t="s">
        <v>3</v>
      </c>
      <c r="E6" s="22"/>
      <c r="F6" s="24" t="str">
        <f>Q9</f>
        <v>스위스</v>
      </c>
      <c r="G6" s="25" t="s">
        <v>13</v>
      </c>
      <c r="H6" s="211">
        <v>38882</v>
      </c>
      <c r="I6" s="211"/>
      <c r="J6" s="212">
        <v>0.041666666666666664</v>
      </c>
      <c r="K6" s="212"/>
      <c r="L6" s="213">
        <f aca="true" t="shared" si="1" ref="L6:L11">IF(OR(H6="",J6="",H6&lt;$Q$24),"",IF(H6=$Q$24,IF(AND(J6&lt;=$R$26,$R$26&lt;=(J6+0.08333333333)),"진행중",IF($R$26&lt;J6,"오늘!","종료")),IF($Q$24&gt;H6,"종료","")))</f>
      </c>
      <c r="M6" s="213"/>
      <c r="R6" s="16"/>
    </row>
    <row r="7" spans="1:19" ht="14.25" customHeight="1">
      <c r="A7" s="20">
        <f t="shared" si="0"/>
      </c>
      <c r="B7" s="21" t="str">
        <f>Q11</f>
        <v>대한민국</v>
      </c>
      <c r="C7" s="22"/>
      <c r="D7" s="23" t="s">
        <v>3</v>
      </c>
      <c r="E7" s="22"/>
      <c r="F7" s="24" t="str">
        <f>Q13</f>
        <v>토고</v>
      </c>
      <c r="G7" s="25" t="s">
        <v>10</v>
      </c>
      <c r="H7" s="211">
        <v>38881</v>
      </c>
      <c r="I7" s="211"/>
      <c r="J7" s="212">
        <v>0.9166666666666666</v>
      </c>
      <c r="K7" s="212"/>
      <c r="L7" s="213">
        <f t="shared" si="1"/>
      </c>
      <c r="M7" s="213"/>
      <c r="N7" s="26"/>
      <c r="O7" s="27"/>
      <c r="P7" s="28"/>
      <c r="Q7" s="214" t="s">
        <v>111</v>
      </c>
      <c r="R7" s="215"/>
      <c r="S7" s="28"/>
    </row>
    <row r="8" spans="1:19" ht="14.25" customHeight="1">
      <c r="A8" s="20">
        <f t="shared" si="0"/>
      </c>
      <c r="B8" s="21" t="str">
        <f>Q7</f>
        <v>프랑스</v>
      </c>
      <c r="C8" s="22"/>
      <c r="D8" s="23" t="s">
        <v>3</v>
      </c>
      <c r="E8" s="22"/>
      <c r="F8" s="24" t="str">
        <f>Q11</f>
        <v>대한민국</v>
      </c>
      <c r="G8" s="25" t="s">
        <v>12</v>
      </c>
      <c r="H8" s="211">
        <v>38887</v>
      </c>
      <c r="I8" s="211"/>
      <c r="J8" s="212">
        <v>0.16666666666666666</v>
      </c>
      <c r="K8" s="212"/>
      <c r="L8" s="213">
        <f t="shared" si="1"/>
      </c>
      <c r="M8" s="213"/>
      <c r="N8" s="29"/>
      <c r="O8" s="30"/>
      <c r="P8" s="31"/>
      <c r="Q8" s="32"/>
      <c r="R8" s="33"/>
      <c r="S8" s="31"/>
    </row>
    <row r="9" spans="1:19" ht="14.25" customHeight="1">
      <c r="A9" s="20">
        <f t="shared" si="0"/>
      </c>
      <c r="B9" s="21" t="str">
        <f>Q13</f>
        <v>토고</v>
      </c>
      <c r="C9" s="22"/>
      <c r="D9" s="23" t="s">
        <v>3</v>
      </c>
      <c r="E9" s="22"/>
      <c r="F9" s="24" t="str">
        <f>Q9</f>
        <v>스위스</v>
      </c>
      <c r="G9" s="25" t="s">
        <v>6</v>
      </c>
      <c r="H9" s="211">
        <v>38887</v>
      </c>
      <c r="I9" s="211"/>
      <c r="J9" s="212">
        <v>0.9166666666666666</v>
      </c>
      <c r="K9" s="212"/>
      <c r="L9" s="213">
        <f t="shared" si="1"/>
      </c>
      <c r="M9" s="213"/>
      <c r="P9" s="28"/>
      <c r="Q9" s="214" t="s">
        <v>112</v>
      </c>
      <c r="R9" s="215"/>
      <c r="S9" s="28"/>
    </row>
    <row r="10" spans="1:19" ht="14.25" customHeight="1">
      <c r="A10" s="20">
        <f t="shared" si="0"/>
      </c>
      <c r="B10" s="21" t="str">
        <f>Q13</f>
        <v>토고</v>
      </c>
      <c r="C10" s="22"/>
      <c r="D10" s="23" t="s">
        <v>3</v>
      </c>
      <c r="E10" s="22"/>
      <c r="F10" s="24" t="str">
        <f>Q7</f>
        <v>프랑스</v>
      </c>
      <c r="G10" s="25" t="s">
        <v>183</v>
      </c>
      <c r="H10" s="211">
        <v>38892</v>
      </c>
      <c r="I10" s="211"/>
      <c r="J10" s="212">
        <v>0.16666666666666666</v>
      </c>
      <c r="K10" s="212"/>
      <c r="L10" s="213">
        <f t="shared" si="1"/>
      </c>
      <c r="M10" s="213"/>
      <c r="P10" s="31"/>
      <c r="Q10" s="32"/>
      <c r="R10" s="33"/>
      <c r="S10" s="31"/>
    </row>
    <row r="11" spans="1:19" ht="14.25" customHeight="1">
      <c r="A11" s="20">
        <f t="shared" si="0"/>
      </c>
      <c r="B11" s="21" t="str">
        <f>Q9</f>
        <v>스위스</v>
      </c>
      <c r="C11" s="22"/>
      <c r="D11" s="23" t="s">
        <v>3</v>
      </c>
      <c r="E11" s="22"/>
      <c r="F11" s="24" t="str">
        <f>Q11</f>
        <v>대한민국</v>
      </c>
      <c r="G11" s="25" t="s">
        <v>182</v>
      </c>
      <c r="H11" s="211">
        <v>38892</v>
      </c>
      <c r="I11" s="211"/>
      <c r="J11" s="212">
        <v>0.16666666666666666</v>
      </c>
      <c r="K11" s="212"/>
      <c r="L11" s="213">
        <f t="shared" si="1"/>
      </c>
      <c r="M11" s="213"/>
      <c r="P11" s="28"/>
      <c r="Q11" s="214" t="s">
        <v>113</v>
      </c>
      <c r="R11" s="215"/>
      <c r="S11" s="28"/>
    </row>
    <row r="12" spans="2:19" ht="13.5" customHeight="1">
      <c r="B12" s="34"/>
      <c r="C12" s="35"/>
      <c r="D12" s="36"/>
      <c r="E12" s="35"/>
      <c r="F12" s="19"/>
      <c r="G12" s="37"/>
      <c r="H12" s="36"/>
      <c r="I12" s="38"/>
      <c r="J12" s="17"/>
      <c r="K12" s="39"/>
      <c r="L12" s="40"/>
      <c r="M12" s="40"/>
      <c r="P12" s="31"/>
      <c r="Q12" s="32"/>
      <c r="R12" s="33"/>
      <c r="S12" s="31"/>
    </row>
    <row r="13" spans="2:19" ht="13.5" customHeight="1">
      <c r="B13" s="34"/>
      <c r="C13" s="35"/>
      <c r="D13" s="36"/>
      <c r="E13" s="35"/>
      <c r="F13" s="19"/>
      <c r="G13" s="37"/>
      <c r="H13" s="36"/>
      <c r="I13" s="36"/>
      <c r="J13" s="17"/>
      <c r="K13" s="41"/>
      <c r="L13" s="40"/>
      <c r="M13" s="40"/>
      <c r="P13" s="28"/>
      <c r="Q13" s="214" t="s">
        <v>114</v>
      </c>
      <c r="R13" s="215"/>
      <c r="S13" s="28"/>
    </row>
    <row r="14" spans="2:18" ht="13.5" customHeight="1">
      <c r="B14" s="34"/>
      <c r="C14" s="35"/>
      <c r="D14" s="36"/>
      <c r="E14" s="35"/>
      <c r="F14" s="19"/>
      <c r="G14" s="37"/>
      <c r="H14" s="36"/>
      <c r="I14" s="36"/>
      <c r="J14" s="17"/>
      <c r="K14" s="41"/>
      <c r="L14" s="40"/>
      <c r="M14" s="40"/>
      <c r="Q14" s="43"/>
      <c r="R14" s="65"/>
    </row>
    <row r="15" spans="7:18" ht="12.75">
      <c r="G15" s="206" t="s">
        <v>79</v>
      </c>
      <c r="H15" s="207"/>
      <c r="I15" s="207"/>
      <c r="J15" s="207"/>
      <c r="K15" s="207"/>
      <c r="L15" s="207"/>
      <c r="M15" s="207"/>
      <c r="N15" s="207"/>
      <c r="O15" s="207"/>
      <c r="R15" s="16"/>
    </row>
    <row r="16" spans="7:18" ht="12.75">
      <c r="G16" s="45"/>
      <c r="H16" s="167" t="s">
        <v>87</v>
      </c>
      <c r="I16" s="167" t="s">
        <v>80</v>
      </c>
      <c r="J16" s="167" t="s">
        <v>81</v>
      </c>
      <c r="K16" s="167" t="s">
        <v>82</v>
      </c>
      <c r="L16" s="167" t="s">
        <v>83</v>
      </c>
      <c r="M16" s="167" t="s">
        <v>84</v>
      </c>
      <c r="N16" s="167" t="s">
        <v>85</v>
      </c>
      <c r="O16" s="167" t="s">
        <v>86</v>
      </c>
      <c r="R16" s="16"/>
    </row>
    <row r="17" spans="6:19" ht="12.75">
      <c r="F17" s="46" t="s">
        <v>186</v>
      </c>
      <c r="G17" s="47" t="str">
        <f>calculoG!F52</f>
        <v>프랑스</v>
      </c>
      <c r="H17" s="24">
        <f>calculoG!G52</f>
        <v>0</v>
      </c>
      <c r="I17" s="24">
        <f>calculoG!H52</f>
        <v>0</v>
      </c>
      <c r="J17" s="24">
        <f>calculoG!I52</f>
        <v>0</v>
      </c>
      <c r="K17" s="24">
        <f>calculoG!J52</f>
        <v>0</v>
      </c>
      <c r="L17" s="24">
        <f>calculoG!K52</f>
        <v>0</v>
      </c>
      <c r="M17" s="24">
        <f>calculoG!L52</f>
        <v>0</v>
      </c>
      <c r="N17" s="24">
        <f>L17-M17</f>
        <v>0</v>
      </c>
      <c r="O17" s="24">
        <f>calculoG!M52</f>
        <v>0</v>
      </c>
      <c r="P17" s="48"/>
      <c r="Q17" s="49"/>
      <c r="R17" s="50"/>
      <c r="S17" s="49"/>
    </row>
    <row r="18" spans="6:19" ht="12.75">
      <c r="F18" s="46" t="s">
        <v>186</v>
      </c>
      <c r="G18" s="47" t="str">
        <f>calculoG!F53</f>
        <v>스위스</v>
      </c>
      <c r="H18" s="24">
        <f>calculoG!G53</f>
        <v>0</v>
      </c>
      <c r="I18" s="24">
        <f>calculoG!H53</f>
        <v>0</v>
      </c>
      <c r="J18" s="24">
        <f>calculoG!I53</f>
        <v>0</v>
      </c>
      <c r="K18" s="24">
        <f>calculoG!J53</f>
        <v>0</v>
      </c>
      <c r="L18" s="24">
        <f>calculoG!K53</f>
        <v>0</v>
      </c>
      <c r="M18" s="24">
        <f>calculoG!L53</f>
        <v>0</v>
      </c>
      <c r="N18" s="24">
        <f>L18-M18</f>
        <v>0</v>
      </c>
      <c r="O18" s="24">
        <f>calculoG!M53</f>
        <v>0</v>
      </c>
      <c r="P18" s="48"/>
      <c r="Q18" s="49"/>
      <c r="R18" s="50"/>
      <c r="S18" s="49"/>
    </row>
    <row r="19" spans="6:19" ht="12.75">
      <c r="F19" s="49"/>
      <c r="G19" s="47" t="str">
        <f>calculoG!F54</f>
        <v>대한민국</v>
      </c>
      <c r="H19" s="24">
        <f>calculoG!G54</f>
        <v>0</v>
      </c>
      <c r="I19" s="24">
        <f>calculoG!H54</f>
        <v>0</v>
      </c>
      <c r="J19" s="24">
        <f>calculoG!I54</f>
        <v>0</v>
      </c>
      <c r="K19" s="24">
        <f>calculoG!J54</f>
        <v>0</v>
      </c>
      <c r="L19" s="24">
        <f>calculoG!K54</f>
        <v>0</v>
      </c>
      <c r="M19" s="24">
        <f>calculoG!L54</f>
        <v>0</v>
      </c>
      <c r="N19" s="24">
        <f>L19-M19</f>
        <v>0</v>
      </c>
      <c r="O19" s="24">
        <f>calculoG!M54</f>
        <v>0</v>
      </c>
      <c r="P19" s="51"/>
      <c r="Q19" s="49"/>
      <c r="R19" s="50"/>
      <c r="S19" s="49"/>
    </row>
    <row r="20" spans="6:19" ht="12.75">
      <c r="F20" s="49"/>
      <c r="G20" s="47" t="str">
        <f>calculoG!F55</f>
        <v>토고</v>
      </c>
      <c r="H20" s="24">
        <f>calculoG!G55</f>
        <v>0</v>
      </c>
      <c r="I20" s="24">
        <f>calculoG!H55</f>
        <v>0</v>
      </c>
      <c r="J20" s="24">
        <f>calculoG!I55</f>
        <v>0</v>
      </c>
      <c r="K20" s="24">
        <f>calculoG!J55</f>
        <v>0</v>
      </c>
      <c r="L20" s="24">
        <f>calculoG!K55</f>
        <v>0</v>
      </c>
      <c r="M20" s="24">
        <f>calculoG!L55</f>
        <v>0</v>
      </c>
      <c r="N20" s="24">
        <f>L20-M20</f>
        <v>0</v>
      </c>
      <c r="O20" s="24">
        <f>calculoG!M55</f>
        <v>0</v>
      </c>
      <c r="P20" s="51"/>
      <c r="Q20" s="51"/>
      <c r="R20" s="52"/>
      <c r="S20" s="51"/>
    </row>
    <row r="21" spans="14:19" ht="12.75">
      <c r="N21" s="53"/>
      <c r="O21" s="53"/>
      <c r="P21" s="53"/>
      <c r="Q21" s="53"/>
      <c r="R21" s="54"/>
      <c r="S21" s="53"/>
    </row>
    <row r="22" spans="14:19" ht="11.25" customHeight="1">
      <c r="N22" s="53"/>
      <c r="O22" s="53"/>
      <c r="P22" s="53"/>
      <c r="Q22" s="53"/>
      <c r="R22" s="54"/>
      <c r="S22" s="53"/>
    </row>
    <row r="23" spans="14:19" ht="9" customHeight="1">
      <c r="N23" s="53"/>
      <c r="O23" s="53"/>
      <c r="P23" s="53"/>
      <c r="R23" s="55"/>
      <c r="S23" s="53"/>
    </row>
    <row r="24" spans="2:19" ht="12.75">
      <c r="B24" s="56"/>
      <c r="C24" s="57"/>
      <c r="N24" s="58"/>
      <c r="O24" s="58"/>
      <c r="P24" s="171" t="s">
        <v>120</v>
      </c>
      <c r="Q24" s="169">
        <f ca="1">TODAY()</f>
        <v>38864</v>
      </c>
      <c r="R24" s="170">
        <f ca="1">NOW()</f>
        <v>38864.779269907405</v>
      </c>
      <c r="S24" s="59"/>
    </row>
    <row r="25" spans="1:20" ht="12.75" hidden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2">
        <f>HOUR(R24)</f>
        <v>18</v>
      </c>
      <c r="R25" s="62">
        <f>MINUTE(R24)</f>
        <v>42</v>
      </c>
      <c r="S25" s="63"/>
      <c r="T25" s="60"/>
    </row>
    <row r="26" spans="2:20" ht="12.75" hidden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0"/>
      <c r="Q26" s="62"/>
      <c r="R26" s="64">
        <f>TIME(Q25,R25,0)</f>
        <v>0.7791666666666667</v>
      </c>
      <c r="S26" s="63"/>
      <c r="T26" s="60"/>
    </row>
    <row r="27" spans="14:19" ht="12.75">
      <c r="N27" s="53"/>
      <c r="O27" s="53"/>
      <c r="P27" s="53"/>
      <c r="Q27" s="59"/>
      <c r="R27" s="59"/>
      <c r="S27" s="59"/>
    </row>
    <row r="28" spans="14:19" ht="12.75">
      <c r="N28" s="53"/>
      <c r="O28" s="53"/>
      <c r="P28" s="53"/>
      <c r="Q28" s="216" t="s">
        <v>177</v>
      </c>
      <c r="R28" s="216" t="s">
        <v>2</v>
      </c>
      <c r="S28" s="59"/>
    </row>
    <row r="29" spans="14:19" ht="12.75">
      <c r="N29" s="53"/>
      <c r="O29" s="53"/>
      <c r="P29" s="53"/>
      <c r="Q29" s="59"/>
      <c r="R29" s="59"/>
      <c r="S29" s="59"/>
    </row>
  </sheetData>
  <sheetProtection password="F52A" sheet="1" objects="1" scenarios="1"/>
  <mergeCells count="30">
    <mergeCell ref="Q11:R11"/>
    <mergeCell ref="Q13:R13"/>
    <mergeCell ref="G15:O15"/>
    <mergeCell ref="Q28:R28"/>
    <mergeCell ref="H10:I10"/>
    <mergeCell ref="J10:K10"/>
    <mergeCell ref="L10:M10"/>
    <mergeCell ref="H11:I11"/>
    <mergeCell ref="J11:K11"/>
    <mergeCell ref="L11:M11"/>
    <mergeCell ref="H9:I9"/>
    <mergeCell ref="J9:K9"/>
    <mergeCell ref="L9:M9"/>
    <mergeCell ref="Q9:R9"/>
    <mergeCell ref="Q7:R7"/>
    <mergeCell ref="H8:I8"/>
    <mergeCell ref="J8:K8"/>
    <mergeCell ref="L8:M8"/>
    <mergeCell ref="H6:I6"/>
    <mergeCell ref="J6:K6"/>
    <mergeCell ref="L6:M6"/>
    <mergeCell ref="H7:I7"/>
    <mergeCell ref="J7:K7"/>
    <mergeCell ref="L7:M7"/>
    <mergeCell ref="A1:S2"/>
    <mergeCell ref="B4:M4"/>
    <mergeCell ref="P4:S5"/>
    <mergeCell ref="H5:I5"/>
    <mergeCell ref="J5:K5"/>
    <mergeCell ref="L5:M5"/>
  </mergeCells>
  <conditionalFormatting sqref="F17:F18">
    <cfRule type="expression" priority="1" dxfId="0" stopIfTrue="1">
      <formula>IF(AND($H$17=3,$H$18=3,$H$19=3,$H$20=3),1,0)</formula>
    </cfRule>
  </conditionalFormatting>
  <conditionalFormatting sqref="G17:O18">
    <cfRule type="expression" priority="2" dxfId="1" stopIfTrue="1">
      <formula>IF(AND($H$17=3,$H$18=3,$H$19=3,$H$20=3),1,0)</formula>
    </cfRule>
  </conditionalFormatting>
  <conditionalFormatting sqref="B7:G7 J7:K8">
    <cfRule type="expression" priority="3" dxfId="1" stopIfTrue="1">
      <formula>IF(OR($L$7="en juego",$L$7="hoy!"),1,0)</formula>
    </cfRule>
  </conditionalFormatting>
  <conditionalFormatting sqref="L6:M11 B6:G6 H6:I7 J6:K6">
    <cfRule type="expression" priority="4" dxfId="1" stopIfTrue="1">
      <formula>IF(OR($L$6="en juego",$L$6="hoy!"),1,0)</formula>
    </cfRule>
  </conditionalFormatting>
  <conditionalFormatting sqref="B8:I8">
    <cfRule type="expression" priority="5" dxfId="1" stopIfTrue="1">
      <formula>IF(OR($L$8="en juego",$L$8="hoy!"),1,0)</formula>
    </cfRule>
  </conditionalFormatting>
  <conditionalFormatting sqref="B9:K9">
    <cfRule type="expression" priority="6" dxfId="1" stopIfTrue="1">
      <formula>IF(OR($L$9="en juego",$L$9="hoy!"),1,0)</formula>
    </cfRule>
  </conditionalFormatting>
  <conditionalFormatting sqref="B10:G10 H10:K11">
    <cfRule type="expression" priority="7" dxfId="1" stopIfTrue="1">
      <formula>IF(OR($L$10="en juego",$L$10="hoy!"),1,0)</formula>
    </cfRule>
  </conditionalFormatting>
  <conditionalFormatting sqref="B11:G11">
    <cfRule type="expression" priority="8" dxfId="1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" location="Portada!A1" display="Menu Principal"/>
    <hyperlink ref="R28" location="Portada!A1" display="#Portada.A1"/>
    <hyperlink ref="Q28:R28" location="Menu!A1" display="Menu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http://superalumnos.net/mundial_futbol_2006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 FIFA World Cup Germany</dc:title>
  <dc:subject>2006 FIFA World Cup Germany</dc:subject>
  <dc:creator>Pablo Camino (한글판:Seong Woo-seok)</dc:creator>
  <cp:keywords/>
  <dc:description>pablocam@adinet.com.uy
(Korean ver. chococup@hanmail.net)</dc:description>
  <cp:lastModifiedBy>Seong</cp:lastModifiedBy>
  <cp:lastPrinted>2006-05-26T05:51:17Z</cp:lastPrinted>
  <dcterms:created xsi:type="dcterms:W3CDTF">2001-10-15T19:26:14Z</dcterms:created>
  <dcterms:modified xsi:type="dcterms:W3CDTF">2006-05-27T09:42:49Z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